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agliaf\OneDrive - SUPSI\WRITING\APPENDIX\ready\"/>
    </mc:Choice>
  </mc:AlternateContent>
  <xr:revisionPtr revIDLastSave="0" documentId="13_ncr:1_{4D63A735-784B-4999-B18D-D9E473A88B19}" xr6:coauthVersionLast="47" xr6:coauthVersionMax="47" xr10:uidLastSave="{00000000-0000-0000-0000-000000000000}"/>
  <bookViews>
    <workbookView xWindow="-96" yWindow="-96" windowWidth="23232" windowHeight="13992" activeTab="2" xr2:uid="{52406294-CAB7-483F-A3F8-195999DE7C8C}"/>
  </bookViews>
  <sheets>
    <sheet name="Intro" sheetId="5" r:id="rId1"/>
    <sheet name="GRT-BT" sheetId="2" r:id="rId2"/>
    <sheet name="GRT-PL" sheetId="1" r:id="rId3"/>
    <sheet name="GRT-PHEN" sheetId="3" r:id="rId4"/>
    <sheet name="PHEN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10" i="2" l="1"/>
  <c r="W110" i="2"/>
  <c r="X110" i="2"/>
  <c r="Y110" i="2"/>
  <c r="AN110" i="2"/>
  <c r="AO110" i="2"/>
  <c r="AP110" i="2"/>
  <c r="AQ110" i="2"/>
  <c r="AE110" i="2" l="1"/>
  <c r="AA110" i="2"/>
  <c r="AU110" i="2" s="1"/>
  <c r="AJ110" i="2"/>
  <c r="AK110" i="2"/>
  <c r="AI110" i="2"/>
  <c r="AG110" i="2"/>
  <c r="AF110" i="2"/>
  <c r="AC110" i="2"/>
  <c r="AB110" i="2"/>
  <c r="AT110" i="2" l="1"/>
  <c r="AV110" i="2" s="1"/>
  <c r="J110" i="2" s="1"/>
  <c r="I27" i="3" l="1"/>
  <c r="J27" i="3"/>
  <c r="K27" i="3"/>
  <c r="L27" i="3"/>
  <c r="R27" i="3"/>
  <c r="S27" i="3"/>
  <c r="U27" i="3"/>
  <c r="X27" i="3" s="1"/>
  <c r="I28" i="3"/>
  <c r="U28" i="3" s="1"/>
  <c r="X28" i="3" s="1"/>
  <c r="Y28" i="3" s="1"/>
  <c r="J28" i="3"/>
  <c r="K28" i="3"/>
  <c r="L28" i="3"/>
  <c r="R28" i="3"/>
  <c r="S28" i="3"/>
  <c r="Y27" i="3" l="1"/>
  <c r="V16" i="2" l="1"/>
  <c r="W16" i="2"/>
  <c r="X16" i="2"/>
  <c r="Y16" i="2"/>
  <c r="AN16" i="2"/>
  <c r="AO16" i="2"/>
  <c r="AP16" i="2"/>
  <c r="AQ16" i="2"/>
  <c r="AE16" i="2" l="1"/>
  <c r="AF16" i="2"/>
  <c r="AJ16" i="2"/>
  <c r="AI16" i="2"/>
  <c r="AG16" i="2"/>
  <c r="AB16" i="2"/>
  <c r="AC16" i="2"/>
  <c r="AK16" i="2"/>
  <c r="AA16" i="2"/>
  <c r="AU16" i="2" s="1"/>
  <c r="AT16" i="2" l="1"/>
  <c r="AV16" i="2" s="1"/>
  <c r="J16" i="2" s="1"/>
  <c r="AQ123" i="2"/>
  <c r="AP123" i="2"/>
  <c r="AO123" i="2"/>
  <c r="AN123" i="2"/>
  <c r="Y123" i="2"/>
  <c r="X123" i="2"/>
  <c r="W123" i="2"/>
  <c r="V123" i="2"/>
  <c r="AQ122" i="2"/>
  <c r="AP122" i="2"/>
  <c r="AO122" i="2"/>
  <c r="AN122" i="2"/>
  <c r="Y122" i="2"/>
  <c r="X122" i="2"/>
  <c r="W122" i="2"/>
  <c r="V122" i="2"/>
  <c r="AQ121" i="2"/>
  <c r="AP121" i="2"/>
  <c r="AO121" i="2"/>
  <c r="AN121" i="2"/>
  <c r="Y121" i="2"/>
  <c r="X121" i="2"/>
  <c r="W121" i="2"/>
  <c r="V121" i="2"/>
  <c r="AQ120" i="2"/>
  <c r="AP120" i="2"/>
  <c r="AO120" i="2"/>
  <c r="AN120" i="2"/>
  <c r="Y120" i="2"/>
  <c r="X120" i="2"/>
  <c r="W120" i="2"/>
  <c r="V120" i="2"/>
  <c r="AQ119" i="2"/>
  <c r="AP119" i="2"/>
  <c r="AO119" i="2"/>
  <c r="AN119" i="2"/>
  <c r="Y119" i="2"/>
  <c r="X119" i="2"/>
  <c r="W119" i="2"/>
  <c r="V119" i="2"/>
  <c r="AQ118" i="2"/>
  <c r="AP118" i="2"/>
  <c r="AO118" i="2"/>
  <c r="AN118" i="2"/>
  <c r="Y118" i="2"/>
  <c r="X118" i="2"/>
  <c r="W118" i="2"/>
  <c r="V118" i="2"/>
  <c r="AQ117" i="2"/>
  <c r="AP117" i="2"/>
  <c r="AO117" i="2"/>
  <c r="AN117" i="2"/>
  <c r="Y117" i="2"/>
  <c r="X117" i="2"/>
  <c r="W117" i="2"/>
  <c r="V117" i="2"/>
  <c r="AQ116" i="2"/>
  <c r="AP116" i="2"/>
  <c r="AO116" i="2"/>
  <c r="AN116" i="2"/>
  <c r="Y116" i="2"/>
  <c r="X116" i="2"/>
  <c r="W116" i="2"/>
  <c r="V116" i="2"/>
  <c r="AQ115" i="2"/>
  <c r="AP115" i="2"/>
  <c r="AO115" i="2"/>
  <c r="AN115" i="2"/>
  <c r="Y115" i="2"/>
  <c r="X115" i="2"/>
  <c r="W115" i="2"/>
  <c r="V115" i="2"/>
  <c r="AQ114" i="2"/>
  <c r="AP114" i="2"/>
  <c r="AO114" i="2"/>
  <c r="AN114" i="2"/>
  <c r="Y114" i="2"/>
  <c r="X114" i="2"/>
  <c r="W114" i="2"/>
  <c r="V114" i="2"/>
  <c r="AQ113" i="2"/>
  <c r="AP113" i="2"/>
  <c r="AO113" i="2"/>
  <c r="AN113" i="2"/>
  <c r="Y113" i="2"/>
  <c r="X113" i="2"/>
  <c r="W113" i="2"/>
  <c r="V113" i="2"/>
  <c r="AC122" i="2" l="1"/>
  <c r="AA115" i="2"/>
  <c r="AI113" i="2"/>
  <c r="AC119" i="2"/>
  <c r="AC118" i="2"/>
  <c r="AJ121" i="2"/>
  <c r="AK122" i="2"/>
  <c r="AJ113" i="2"/>
  <c r="AI118" i="2"/>
  <c r="AB121" i="2"/>
  <c r="AG116" i="2"/>
  <c r="AK120" i="2"/>
  <c r="AJ117" i="2"/>
  <c r="AI114" i="2"/>
  <c r="AA123" i="2"/>
  <c r="AK119" i="2"/>
  <c r="AA113" i="2"/>
  <c r="AK116" i="2"/>
  <c r="AA117" i="2"/>
  <c r="AK115" i="2"/>
  <c r="AE116" i="2"/>
  <c r="AF116" i="2"/>
  <c r="AA119" i="2"/>
  <c r="AB120" i="2"/>
  <c r="AK123" i="2"/>
  <c r="AE120" i="2"/>
  <c r="AF120" i="2"/>
  <c r="AK114" i="2"/>
  <c r="AB115" i="2"/>
  <c r="AG120" i="2"/>
  <c r="AC114" i="2"/>
  <c r="AC115" i="2"/>
  <c r="AK118" i="2"/>
  <c r="AB119" i="2"/>
  <c r="AB123" i="2"/>
  <c r="AC123" i="2"/>
  <c r="AB116" i="2"/>
  <c r="AJ114" i="2"/>
  <c r="AI117" i="2"/>
  <c r="AJ118" i="2"/>
  <c r="AI122" i="2"/>
  <c r="AI121" i="2"/>
  <c r="AJ122" i="2"/>
  <c r="AA114" i="2"/>
  <c r="AE115" i="2"/>
  <c r="AI116" i="2"/>
  <c r="AA118" i="2"/>
  <c r="AE119" i="2"/>
  <c r="AI120" i="2"/>
  <c r="AA122" i="2"/>
  <c r="AE123" i="2"/>
  <c r="AB114" i="2"/>
  <c r="AF115" i="2"/>
  <c r="AJ116" i="2"/>
  <c r="AB118" i="2"/>
  <c r="AF119" i="2"/>
  <c r="AJ120" i="2"/>
  <c r="AB122" i="2"/>
  <c r="AF123" i="2"/>
  <c r="AK113" i="2"/>
  <c r="AG115" i="2"/>
  <c r="AG119" i="2"/>
  <c r="AG123" i="2"/>
  <c r="AE114" i="2"/>
  <c r="AI115" i="2"/>
  <c r="AE118" i="2"/>
  <c r="AI119" i="2"/>
  <c r="AA121" i="2"/>
  <c r="AE122" i="2"/>
  <c r="AI123" i="2"/>
  <c r="AK117" i="2"/>
  <c r="AB113" i="2"/>
  <c r="AF114" i="2"/>
  <c r="AJ115" i="2"/>
  <c r="AB117" i="2"/>
  <c r="AF118" i="2"/>
  <c r="AJ119" i="2"/>
  <c r="AF122" i="2"/>
  <c r="AJ123" i="2"/>
  <c r="AK121" i="2"/>
  <c r="AC113" i="2"/>
  <c r="AG114" i="2"/>
  <c r="AC117" i="2"/>
  <c r="AG118" i="2"/>
  <c r="AC121" i="2"/>
  <c r="AG122" i="2"/>
  <c r="AE113" i="2"/>
  <c r="AU113" i="2" s="1"/>
  <c r="AA116" i="2"/>
  <c r="AU116" i="2" s="1"/>
  <c r="AE117" i="2"/>
  <c r="AA120" i="2"/>
  <c r="AE121" i="2"/>
  <c r="AF113" i="2"/>
  <c r="AF117" i="2"/>
  <c r="AF121" i="2"/>
  <c r="AG113" i="2"/>
  <c r="AC116" i="2"/>
  <c r="AG117" i="2"/>
  <c r="AC120" i="2"/>
  <c r="AG121" i="2"/>
  <c r="AU115" i="2" l="1"/>
  <c r="AU117" i="2"/>
  <c r="AT119" i="2"/>
  <c r="AU114" i="2"/>
  <c r="AT115" i="2"/>
  <c r="AU119" i="2"/>
  <c r="AU118" i="2"/>
  <c r="AU121" i="2"/>
  <c r="AU120" i="2"/>
  <c r="AT116" i="2"/>
  <c r="AV116" i="2" s="1"/>
  <c r="J116" i="2" s="1"/>
  <c r="AU123" i="2"/>
  <c r="AT121" i="2"/>
  <c r="AU122" i="2"/>
  <c r="AT120" i="2"/>
  <c r="AT123" i="2"/>
  <c r="AT117" i="2"/>
  <c r="AT113" i="2"/>
  <c r="AV113" i="2" s="1"/>
  <c r="J113" i="2" s="1"/>
  <c r="AT114" i="2"/>
  <c r="AT122" i="2"/>
  <c r="AT118" i="2"/>
  <c r="AQ109" i="2"/>
  <c r="AP109" i="2"/>
  <c r="AO109" i="2"/>
  <c r="AN109" i="2"/>
  <c r="Y109" i="2"/>
  <c r="X109" i="2"/>
  <c r="W109" i="2"/>
  <c r="V109" i="2"/>
  <c r="AQ108" i="2"/>
  <c r="AP108" i="2"/>
  <c r="AO108" i="2"/>
  <c r="AN108" i="2"/>
  <c r="Y108" i="2"/>
  <c r="X108" i="2"/>
  <c r="W108" i="2"/>
  <c r="V108" i="2"/>
  <c r="AQ107" i="2"/>
  <c r="AP107" i="2"/>
  <c r="AO107" i="2"/>
  <c r="AN107" i="2"/>
  <c r="Y107" i="2"/>
  <c r="X107" i="2"/>
  <c r="W107" i="2"/>
  <c r="V107" i="2"/>
  <c r="AQ106" i="2"/>
  <c r="AP106" i="2"/>
  <c r="AO106" i="2"/>
  <c r="AN106" i="2"/>
  <c r="Y106" i="2"/>
  <c r="X106" i="2"/>
  <c r="W106" i="2"/>
  <c r="V106" i="2"/>
  <c r="AQ105" i="2"/>
  <c r="AP105" i="2"/>
  <c r="AO105" i="2"/>
  <c r="AN105" i="2"/>
  <c r="Y105" i="2"/>
  <c r="X105" i="2"/>
  <c r="W105" i="2"/>
  <c r="V105" i="2"/>
  <c r="AQ104" i="2"/>
  <c r="AP104" i="2"/>
  <c r="AO104" i="2"/>
  <c r="AN104" i="2"/>
  <c r="Y104" i="2"/>
  <c r="X104" i="2"/>
  <c r="W104" i="2"/>
  <c r="V104" i="2"/>
  <c r="AQ103" i="2"/>
  <c r="AP103" i="2"/>
  <c r="AO103" i="2"/>
  <c r="AN103" i="2"/>
  <c r="Y103" i="2"/>
  <c r="X103" i="2"/>
  <c r="W103" i="2"/>
  <c r="V103" i="2"/>
  <c r="AQ102" i="2"/>
  <c r="AP102" i="2"/>
  <c r="AO102" i="2"/>
  <c r="AN102" i="2"/>
  <c r="Y102" i="2"/>
  <c r="X102" i="2"/>
  <c r="W102" i="2"/>
  <c r="V102" i="2"/>
  <c r="AQ101" i="2"/>
  <c r="AP101" i="2"/>
  <c r="AO101" i="2"/>
  <c r="AN101" i="2"/>
  <c r="Y101" i="2"/>
  <c r="X101" i="2"/>
  <c r="W101" i="2"/>
  <c r="V101" i="2"/>
  <c r="AQ100" i="2"/>
  <c r="AP100" i="2"/>
  <c r="AO100" i="2"/>
  <c r="AN100" i="2"/>
  <c r="Y100" i="2"/>
  <c r="X100" i="2"/>
  <c r="W100" i="2"/>
  <c r="V100" i="2"/>
  <c r="AQ96" i="2"/>
  <c r="AP96" i="2"/>
  <c r="AO96" i="2"/>
  <c r="AN96" i="2"/>
  <c r="Y96" i="2"/>
  <c r="X96" i="2"/>
  <c r="W96" i="2"/>
  <c r="V96" i="2"/>
  <c r="AQ95" i="2"/>
  <c r="AP95" i="2"/>
  <c r="AO95" i="2"/>
  <c r="AN95" i="2"/>
  <c r="Y95" i="2"/>
  <c r="X95" i="2"/>
  <c r="W95" i="2"/>
  <c r="V95" i="2"/>
  <c r="AQ94" i="2"/>
  <c r="AP94" i="2"/>
  <c r="AO94" i="2"/>
  <c r="AN94" i="2"/>
  <c r="Y94" i="2"/>
  <c r="X94" i="2"/>
  <c r="W94" i="2"/>
  <c r="V94" i="2"/>
  <c r="AQ93" i="2"/>
  <c r="AP93" i="2"/>
  <c r="AO93" i="2"/>
  <c r="AN93" i="2"/>
  <c r="Y93" i="2"/>
  <c r="X93" i="2"/>
  <c r="W93" i="2"/>
  <c r="V93" i="2"/>
  <c r="AQ92" i="2"/>
  <c r="AP92" i="2"/>
  <c r="AO92" i="2"/>
  <c r="AN92" i="2"/>
  <c r="Y92" i="2"/>
  <c r="X92" i="2"/>
  <c r="W92" i="2"/>
  <c r="V92" i="2"/>
  <c r="AQ91" i="2"/>
  <c r="AP91" i="2"/>
  <c r="AO91" i="2"/>
  <c r="AN91" i="2"/>
  <c r="Y91" i="2"/>
  <c r="X91" i="2"/>
  <c r="W91" i="2"/>
  <c r="V91" i="2"/>
  <c r="AQ90" i="2"/>
  <c r="AP90" i="2"/>
  <c r="AO90" i="2"/>
  <c r="AN90" i="2"/>
  <c r="Y90" i="2"/>
  <c r="X90" i="2"/>
  <c r="W90" i="2"/>
  <c r="V90" i="2"/>
  <c r="AQ89" i="2"/>
  <c r="AP89" i="2"/>
  <c r="AO89" i="2"/>
  <c r="AN89" i="2"/>
  <c r="Y89" i="2"/>
  <c r="X89" i="2"/>
  <c r="W89" i="2"/>
  <c r="V89" i="2"/>
  <c r="AQ88" i="2"/>
  <c r="AP88" i="2"/>
  <c r="AO88" i="2"/>
  <c r="AN88" i="2"/>
  <c r="Y88" i="2"/>
  <c r="X88" i="2"/>
  <c r="W88" i="2"/>
  <c r="V88" i="2"/>
  <c r="AQ87" i="2"/>
  <c r="AP87" i="2"/>
  <c r="AO87" i="2"/>
  <c r="AN87" i="2"/>
  <c r="Y87" i="2"/>
  <c r="X87" i="2"/>
  <c r="W87" i="2"/>
  <c r="V87" i="2"/>
  <c r="AQ86" i="2"/>
  <c r="AP86" i="2"/>
  <c r="AO86" i="2"/>
  <c r="AN86" i="2"/>
  <c r="Y86" i="2"/>
  <c r="X86" i="2"/>
  <c r="W86" i="2"/>
  <c r="V86" i="2"/>
  <c r="X80" i="1"/>
  <c r="S80" i="1"/>
  <c r="L80" i="1"/>
  <c r="K80" i="1"/>
  <c r="J80" i="1"/>
  <c r="I80" i="1"/>
  <c r="X79" i="1"/>
  <c r="S79" i="1"/>
  <c r="L79" i="1"/>
  <c r="K79" i="1"/>
  <c r="J79" i="1"/>
  <c r="I79" i="1"/>
  <c r="X78" i="1"/>
  <c r="S78" i="1"/>
  <c r="L78" i="1"/>
  <c r="K78" i="1"/>
  <c r="J78" i="1"/>
  <c r="I78" i="1"/>
  <c r="X77" i="1"/>
  <c r="S77" i="1"/>
  <c r="L77" i="1"/>
  <c r="K77" i="1"/>
  <c r="J77" i="1"/>
  <c r="I77" i="1"/>
  <c r="X76" i="1"/>
  <c r="S76" i="1"/>
  <c r="L76" i="1"/>
  <c r="K76" i="1"/>
  <c r="J76" i="1"/>
  <c r="I76" i="1"/>
  <c r="X75" i="1"/>
  <c r="S75" i="1"/>
  <c r="L75" i="1"/>
  <c r="K75" i="1"/>
  <c r="J75" i="1"/>
  <c r="I75" i="1"/>
  <c r="X74" i="1"/>
  <c r="S74" i="1"/>
  <c r="L74" i="1"/>
  <c r="K74" i="1"/>
  <c r="J74" i="1"/>
  <c r="I74" i="1"/>
  <c r="X73" i="1"/>
  <c r="S73" i="1"/>
  <c r="L73" i="1"/>
  <c r="K73" i="1"/>
  <c r="J73" i="1"/>
  <c r="I73" i="1"/>
  <c r="X72" i="1"/>
  <c r="S72" i="1"/>
  <c r="L72" i="1"/>
  <c r="K72" i="1"/>
  <c r="J72" i="1"/>
  <c r="I72" i="1"/>
  <c r="X71" i="1"/>
  <c r="S71" i="1"/>
  <c r="L71" i="1"/>
  <c r="K71" i="1"/>
  <c r="J71" i="1"/>
  <c r="I71" i="1"/>
  <c r="X70" i="1"/>
  <c r="S70" i="1"/>
  <c r="L70" i="1"/>
  <c r="K70" i="1"/>
  <c r="J70" i="1"/>
  <c r="I70" i="1"/>
  <c r="AQ83" i="2"/>
  <c r="AP83" i="2"/>
  <c r="AO83" i="2"/>
  <c r="AN83" i="2"/>
  <c r="Y83" i="2"/>
  <c r="X83" i="2"/>
  <c r="W83" i="2"/>
  <c r="V83" i="2"/>
  <c r="AQ82" i="2"/>
  <c r="AP82" i="2"/>
  <c r="AO82" i="2"/>
  <c r="AN82" i="2"/>
  <c r="Y82" i="2"/>
  <c r="X82" i="2"/>
  <c r="W82" i="2"/>
  <c r="V82" i="2"/>
  <c r="AQ81" i="2"/>
  <c r="AP81" i="2"/>
  <c r="AO81" i="2"/>
  <c r="AN81" i="2"/>
  <c r="Y81" i="2"/>
  <c r="X81" i="2"/>
  <c r="W81" i="2"/>
  <c r="V81" i="2"/>
  <c r="AQ80" i="2"/>
  <c r="AP80" i="2"/>
  <c r="AO80" i="2"/>
  <c r="AN80" i="2"/>
  <c r="Y80" i="2"/>
  <c r="X80" i="2"/>
  <c r="W80" i="2"/>
  <c r="V80" i="2"/>
  <c r="AQ79" i="2"/>
  <c r="AP79" i="2"/>
  <c r="AO79" i="2"/>
  <c r="AN79" i="2"/>
  <c r="Y79" i="2"/>
  <c r="X79" i="2"/>
  <c r="W79" i="2"/>
  <c r="V79" i="2"/>
  <c r="AQ78" i="2"/>
  <c r="AP78" i="2"/>
  <c r="AO78" i="2"/>
  <c r="AN78" i="2"/>
  <c r="Y78" i="2"/>
  <c r="X78" i="2"/>
  <c r="W78" i="2"/>
  <c r="V78" i="2"/>
  <c r="AQ77" i="2"/>
  <c r="AP77" i="2"/>
  <c r="AO77" i="2"/>
  <c r="AN77" i="2"/>
  <c r="Y77" i="2"/>
  <c r="X77" i="2"/>
  <c r="W77" i="2"/>
  <c r="V77" i="2"/>
  <c r="AQ76" i="2"/>
  <c r="AP76" i="2"/>
  <c r="AO76" i="2"/>
  <c r="AN76" i="2"/>
  <c r="Y76" i="2"/>
  <c r="X76" i="2"/>
  <c r="W76" i="2"/>
  <c r="V76" i="2"/>
  <c r="AQ75" i="2"/>
  <c r="AP75" i="2"/>
  <c r="AO75" i="2"/>
  <c r="AN75" i="2"/>
  <c r="Y75" i="2"/>
  <c r="X75" i="2"/>
  <c r="W75" i="2"/>
  <c r="V75" i="2"/>
  <c r="AQ74" i="2"/>
  <c r="AP74" i="2"/>
  <c r="AO74" i="2"/>
  <c r="AN74" i="2"/>
  <c r="Y74" i="2"/>
  <c r="X74" i="2"/>
  <c r="W74" i="2"/>
  <c r="V74" i="2"/>
  <c r="AQ73" i="2"/>
  <c r="AP73" i="2"/>
  <c r="AO73" i="2"/>
  <c r="AN73" i="2"/>
  <c r="Y73" i="2"/>
  <c r="X73" i="2"/>
  <c r="W73" i="2"/>
  <c r="V73" i="2"/>
  <c r="AQ52" i="2"/>
  <c r="AP52" i="2"/>
  <c r="AO52" i="2"/>
  <c r="AN52" i="2"/>
  <c r="Y52" i="2"/>
  <c r="X52" i="2"/>
  <c r="W52" i="2"/>
  <c r="V52" i="2"/>
  <c r="AQ51" i="2"/>
  <c r="AP51" i="2"/>
  <c r="AO51" i="2"/>
  <c r="AN51" i="2"/>
  <c r="Y51" i="2"/>
  <c r="X51" i="2"/>
  <c r="W51" i="2"/>
  <c r="V51" i="2"/>
  <c r="AQ50" i="2"/>
  <c r="AP50" i="2"/>
  <c r="AO50" i="2"/>
  <c r="AN50" i="2"/>
  <c r="Y50" i="2"/>
  <c r="X50" i="2"/>
  <c r="W50" i="2"/>
  <c r="V50" i="2"/>
  <c r="AQ49" i="2"/>
  <c r="AP49" i="2"/>
  <c r="AO49" i="2"/>
  <c r="AN49" i="2"/>
  <c r="Y49" i="2"/>
  <c r="X49" i="2"/>
  <c r="W49" i="2"/>
  <c r="V49" i="2"/>
  <c r="AQ48" i="2"/>
  <c r="AP48" i="2"/>
  <c r="AO48" i="2"/>
  <c r="AN48" i="2"/>
  <c r="Y48" i="2"/>
  <c r="X48" i="2"/>
  <c r="W48" i="2"/>
  <c r="V48" i="2"/>
  <c r="AQ47" i="2"/>
  <c r="AP47" i="2"/>
  <c r="AO47" i="2"/>
  <c r="AN47" i="2"/>
  <c r="Y47" i="2"/>
  <c r="X47" i="2"/>
  <c r="W47" i="2"/>
  <c r="V47" i="2"/>
  <c r="AQ46" i="2"/>
  <c r="AP46" i="2"/>
  <c r="AO46" i="2"/>
  <c r="AN46" i="2"/>
  <c r="Y46" i="2"/>
  <c r="X46" i="2"/>
  <c r="W46" i="2"/>
  <c r="V46" i="2"/>
  <c r="AQ45" i="2"/>
  <c r="AP45" i="2"/>
  <c r="AO45" i="2"/>
  <c r="AN45" i="2"/>
  <c r="Y45" i="2"/>
  <c r="X45" i="2"/>
  <c r="W45" i="2"/>
  <c r="V45" i="2"/>
  <c r="AQ44" i="2"/>
  <c r="AP44" i="2"/>
  <c r="AO44" i="2"/>
  <c r="AN44" i="2"/>
  <c r="Y44" i="2"/>
  <c r="X44" i="2"/>
  <c r="W44" i="2"/>
  <c r="V44" i="2"/>
  <c r="AQ43" i="2"/>
  <c r="AP43" i="2"/>
  <c r="AO43" i="2"/>
  <c r="AN43" i="2"/>
  <c r="Y43" i="2"/>
  <c r="X43" i="2"/>
  <c r="W43" i="2"/>
  <c r="V43" i="2"/>
  <c r="AQ42" i="2"/>
  <c r="AP42" i="2"/>
  <c r="AO42" i="2"/>
  <c r="AN42" i="2"/>
  <c r="Y42" i="2"/>
  <c r="X42" i="2"/>
  <c r="W42" i="2"/>
  <c r="V42" i="2"/>
  <c r="AQ40" i="2"/>
  <c r="AP40" i="2"/>
  <c r="AO40" i="2"/>
  <c r="AN40" i="2"/>
  <c r="Y40" i="2"/>
  <c r="X40" i="2"/>
  <c r="W40" i="2"/>
  <c r="V40" i="2"/>
  <c r="AQ39" i="2"/>
  <c r="AP39" i="2"/>
  <c r="AO39" i="2"/>
  <c r="AN39" i="2"/>
  <c r="Y39" i="2"/>
  <c r="X39" i="2"/>
  <c r="W39" i="2"/>
  <c r="V39" i="2"/>
  <c r="AQ38" i="2"/>
  <c r="AP38" i="2"/>
  <c r="AO38" i="2"/>
  <c r="AN38" i="2"/>
  <c r="Y38" i="2"/>
  <c r="X38" i="2"/>
  <c r="W38" i="2"/>
  <c r="V38" i="2"/>
  <c r="AQ37" i="2"/>
  <c r="AP37" i="2"/>
  <c r="AO37" i="2"/>
  <c r="AN37" i="2"/>
  <c r="Y37" i="2"/>
  <c r="X37" i="2"/>
  <c r="W37" i="2"/>
  <c r="V37" i="2"/>
  <c r="AQ36" i="2"/>
  <c r="AP36" i="2"/>
  <c r="AO36" i="2"/>
  <c r="AN36" i="2"/>
  <c r="Y36" i="2"/>
  <c r="X36" i="2"/>
  <c r="W36" i="2"/>
  <c r="V36" i="2"/>
  <c r="AQ35" i="2"/>
  <c r="AP35" i="2"/>
  <c r="AO35" i="2"/>
  <c r="AN35" i="2"/>
  <c r="Y35" i="2"/>
  <c r="X35" i="2"/>
  <c r="W35" i="2"/>
  <c r="V35" i="2"/>
  <c r="AQ34" i="2"/>
  <c r="AP34" i="2"/>
  <c r="AO34" i="2"/>
  <c r="AN34" i="2"/>
  <c r="Y34" i="2"/>
  <c r="X34" i="2"/>
  <c r="W34" i="2"/>
  <c r="V34" i="2"/>
  <c r="AQ33" i="2"/>
  <c r="AP33" i="2"/>
  <c r="AO33" i="2"/>
  <c r="AN33" i="2"/>
  <c r="Y33" i="2"/>
  <c r="X33" i="2"/>
  <c r="W33" i="2"/>
  <c r="V33" i="2"/>
  <c r="AQ32" i="2"/>
  <c r="AP32" i="2"/>
  <c r="AO32" i="2"/>
  <c r="AN32" i="2"/>
  <c r="Y32" i="2"/>
  <c r="X32" i="2"/>
  <c r="W32" i="2"/>
  <c r="V32" i="2"/>
  <c r="AQ31" i="2"/>
  <c r="AP31" i="2"/>
  <c r="AO31" i="2"/>
  <c r="AN31" i="2"/>
  <c r="Y31" i="2"/>
  <c r="X31" i="2"/>
  <c r="W31" i="2"/>
  <c r="V31" i="2"/>
  <c r="AQ30" i="2"/>
  <c r="AP30" i="2"/>
  <c r="AO30" i="2"/>
  <c r="AN30" i="2"/>
  <c r="Y30" i="2"/>
  <c r="X30" i="2"/>
  <c r="W30" i="2"/>
  <c r="V30" i="2"/>
  <c r="AQ29" i="2"/>
  <c r="AP29" i="2"/>
  <c r="AO29" i="2"/>
  <c r="AN29" i="2"/>
  <c r="Y29" i="2"/>
  <c r="X29" i="2"/>
  <c r="W29" i="2"/>
  <c r="V29" i="2"/>
  <c r="X36" i="1"/>
  <c r="S36" i="1"/>
  <c r="L36" i="1"/>
  <c r="K36" i="1"/>
  <c r="J36" i="1"/>
  <c r="I36" i="1"/>
  <c r="X35" i="1"/>
  <c r="S35" i="1"/>
  <c r="L35" i="1"/>
  <c r="K35" i="1"/>
  <c r="J35" i="1"/>
  <c r="I35" i="1"/>
  <c r="X34" i="1"/>
  <c r="S34" i="1"/>
  <c r="L34" i="1"/>
  <c r="K34" i="1"/>
  <c r="J34" i="1"/>
  <c r="I34" i="1"/>
  <c r="X33" i="1"/>
  <c r="S33" i="1"/>
  <c r="L33" i="1"/>
  <c r="K33" i="1"/>
  <c r="J33" i="1"/>
  <c r="I33" i="1"/>
  <c r="X32" i="1"/>
  <c r="S32" i="1"/>
  <c r="L32" i="1"/>
  <c r="K32" i="1"/>
  <c r="J32" i="1"/>
  <c r="I32" i="1"/>
  <c r="X31" i="1"/>
  <c r="S31" i="1"/>
  <c r="L31" i="1"/>
  <c r="K31" i="1"/>
  <c r="J31" i="1"/>
  <c r="I31" i="1"/>
  <c r="X30" i="1"/>
  <c r="S30" i="1"/>
  <c r="L30" i="1"/>
  <c r="K30" i="1"/>
  <c r="J30" i="1"/>
  <c r="I30" i="1"/>
  <c r="X29" i="1"/>
  <c r="S29" i="1"/>
  <c r="L29" i="1"/>
  <c r="K29" i="1"/>
  <c r="J29" i="1"/>
  <c r="I29" i="1"/>
  <c r="X28" i="1"/>
  <c r="S28" i="1"/>
  <c r="L28" i="1"/>
  <c r="K28" i="1"/>
  <c r="J28" i="1"/>
  <c r="I28" i="1"/>
  <c r="X27" i="1"/>
  <c r="S27" i="1"/>
  <c r="L27" i="1"/>
  <c r="K27" i="1"/>
  <c r="J27" i="1"/>
  <c r="I27" i="1"/>
  <c r="X26" i="1"/>
  <c r="S26" i="1"/>
  <c r="L26" i="1"/>
  <c r="K26" i="1"/>
  <c r="J26" i="1"/>
  <c r="I26" i="1"/>
  <c r="X22" i="1"/>
  <c r="S22" i="1"/>
  <c r="L22" i="1"/>
  <c r="K22" i="1"/>
  <c r="J22" i="1"/>
  <c r="I22" i="1"/>
  <c r="X21" i="1"/>
  <c r="S21" i="1"/>
  <c r="L21" i="1"/>
  <c r="K21" i="1"/>
  <c r="J21" i="1"/>
  <c r="I21" i="1"/>
  <c r="X20" i="1"/>
  <c r="S20" i="1"/>
  <c r="L20" i="1"/>
  <c r="K20" i="1"/>
  <c r="J20" i="1"/>
  <c r="I20" i="1"/>
  <c r="X19" i="1"/>
  <c r="S19" i="1"/>
  <c r="L19" i="1"/>
  <c r="K19" i="1"/>
  <c r="J19" i="1"/>
  <c r="I19" i="1"/>
  <c r="AQ25" i="2"/>
  <c r="AP25" i="2"/>
  <c r="AO25" i="2"/>
  <c r="AN25" i="2"/>
  <c r="Y25" i="2"/>
  <c r="X25" i="2"/>
  <c r="W25" i="2"/>
  <c r="V25" i="2"/>
  <c r="AQ24" i="2"/>
  <c r="AP24" i="2"/>
  <c r="AO24" i="2"/>
  <c r="AN24" i="2"/>
  <c r="Y24" i="2"/>
  <c r="X24" i="2"/>
  <c r="W24" i="2"/>
  <c r="V24" i="2"/>
  <c r="AQ23" i="2"/>
  <c r="AP23" i="2"/>
  <c r="AO23" i="2"/>
  <c r="AN23" i="2"/>
  <c r="Y23" i="2"/>
  <c r="X23" i="2"/>
  <c r="W23" i="2"/>
  <c r="V23" i="2"/>
  <c r="AQ22" i="2"/>
  <c r="AP22" i="2"/>
  <c r="AO22" i="2"/>
  <c r="AN22" i="2"/>
  <c r="Y22" i="2"/>
  <c r="X22" i="2"/>
  <c r="W22" i="2"/>
  <c r="V22" i="2"/>
  <c r="AQ21" i="2"/>
  <c r="AP21" i="2"/>
  <c r="AO21" i="2"/>
  <c r="AN21" i="2"/>
  <c r="Y21" i="2"/>
  <c r="X21" i="2"/>
  <c r="W21" i="2"/>
  <c r="V21" i="2"/>
  <c r="AQ20" i="2"/>
  <c r="AP20" i="2"/>
  <c r="AO20" i="2"/>
  <c r="AN20" i="2"/>
  <c r="Y20" i="2"/>
  <c r="X20" i="2"/>
  <c r="W20" i="2"/>
  <c r="V20" i="2"/>
  <c r="AQ19" i="2"/>
  <c r="AP19" i="2"/>
  <c r="AO19" i="2"/>
  <c r="AN19" i="2"/>
  <c r="Y19" i="2"/>
  <c r="X19" i="2"/>
  <c r="W19" i="2"/>
  <c r="V19" i="2"/>
  <c r="AQ15" i="2"/>
  <c r="AP15" i="2"/>
  <c r="AO15" i="2"/>
  <c r="AN15" i="2"/>
  <c r="Y15" i="2"/>
  <c r="X15" i="2"/>
  <c r="W15" i="2"/>
  <c r="V15" i="2"/>
  <c r="AQ14" i="2"/>
  <c r="AP14" i="2"/>
  <c r="AO14" i="2"/>
  <c r="AN14" i="2"/>
  <c r="Y14" i="2"/>
  <c r="X14" i="2"/>
  <c r="W14" i="2"/>
  <c r="V14" i="2"/>
  <c r="AQ13" i="2"/>
  <c r="AP13" i="2"/>
  <c r="AO13" i="2"/>
  <c r="AN13" i="2"/>
  <c r="Y13" i="2"/>
  <c r="X13" i="2"/>
  <c r="W13" i="2"/>
  <c r="V13" i="2"/>
  <c r="AQ12" i="2"/>
  <c r="AP12" i="2"/>
  <c r="AO12" i="2"/>
  <c r="AN12" i="2"/>
  <c r="Y12" i="2"/>
  <c r="X12" i="2"/>
  <c r="W12" i="2"/>
  <c r="V12" i="2"/>
  <c r="AQ11" i="2"/>
  <c r="AP11" i="2"/>
  <c r="AO11" i="2"/>
  <c r="AN11" i="2"/>
  <c r="Y11" i="2"/>
  <c r="X11" i="2"/>
  <c r="W11" i="2"/>
  <c r="V11" i="2"/>
  <c r="AQ10" i="2"/>
  <c r="AP10" i="2"/>
  <c r="AO10" i="2"/>
  <c r="AN10" i="2"/>
  <c r="Y10" i="2"/>
  <c r="X10" i="2"/>
  <c r="W10" i="2"/>
  <c r="V10" i="2"/>
  <c r="AQ9" i="2"/>
  <c r="AP9" i="2"/>
  <c r="AO9" i="2"/>
  <c r="AN9" i="2"/>
  <c r="Y9" i="2"/>
  <c r="X9" i="2"/>
  <c r="W9" i="2"/>
  <c r="V9" i="2"/>
  <c r="AQ8" i="2"/>
  <c r="AP8" i="2"/>
  <c r="AO8" i="2"/>
  <c r="AN8" i="2"/>
  <c r="Y8" i="2"/>
  <c r="X8" i="2"/>
  <c r="W8" i="2"/>
  <c r="V8" i="2"/>
  <c r="AQ7" i="2"/>
  <c r="AP7" i="2"/>
  <c r="AO7" i="2"/>
  <c r="AN7" i="2"/>
  <c r="Y7" i="2"/>
  <c r="X7" i="2"/>
  <c r="W7" i="2"/>
  <c r="V7" i="2"/>
  <c r="AQ6" i="2"/>
  <c r="AP6" i="2"/>
  <c r="AO6" i="2"/>
  <c r="AN6" i="2"/>
  <c r="Y6" i="2"/>
  <c r="X6" i="2"/>
  <c r="W6" i="2"/>
  <c r="V6" i="2"/>
  <c r="AV115" i="2" l="1"/>
  <c r="J115" i="2" s="1"/>
  <c r="AV117" i="2"/>
  <c r="J117" i="2" s="1"/>
  <c r="U71" i="1"/>
  <c r="Z71" i="1" s="1"/>
  <c r="U79" i="1"/>
  <c r="Z79" i="1" s="1"/>
  <c r="AF88" i="2"/>
  <c r="AV121" i="2"/>
  <c r="J121" i="2" s="1"/>
  <c r="U74" i="1"/>
  <c r="Z74" i="1" s="1"/>
  <c r="U78" i="1"/>
  <c r="Z78" i="1" s="1"/>
  <c r="U80" i="1"/>
  <c r="Z80" i="1" s="1"/>
  <c r="U22" i="1"/>
  <c r="Z22" i="1" s="1"/>
  <c r="U33" i="1"/>
  <c r="Z33" i="1" s="1"/>
  <c r="U35" i="1"/>
  <c r="Z35" i="1" s="1"/>
  <c r="U19" i="1"/>
  <c r="Z19" i="1" s="1"/>
  <c r="U26" i="1"/>
  <c r="Z26" i="1" s="1"/>
  <c r="U32" i="1"/>
  <c r="Z32" i="1" s="1"/>
  <c r="U34" i="1"/>
  <c r="Z34" i="1" s="1"/>
  <c r="U36" i="1"/>
  <c r="Z36" i="1" s="1"/>
  <c r="AV118" i="2"/>
  <c r="J118" i="2" s="1"/>
  <c r="AV114" i="2"/>
  <c r="J114" i="2" s="1"/>
  <c r="AV119" i="2"/>
  <c r="J119" i="2" s="1"/>
  <c r="AA13" i="2"/>
  <c r="AE88" i="2"/>
  <c r="AF35" i="2"/>
  <c r="AV123" i="2"/>
  <c r="J123" i="2" s="1"/>
  <c r="AA92" i="2"/>
  <c r="AV120" i="2"/>
  <c r="J120" i="2" s="1"/>
  <c r="AK46" i="2"/>
  <c r="AI77" i="2"/>
  <c r="U77" i="1"/>
  <c r="Z77" i="1" s="1"/>
  <c r="U70" i="1"/>
  <c r="Z70" i="1" s="1"/>
  <c r="U20" i="1"/>
  <c r="Z20" i="1" s="1"/>
  <c r="U29" i="1"/>
  <c r="Z29" i="1" s="1"/>
  <c r="U72" i="1"/>
  <c r="Z72" i="1" s="1"/>
  <c r="U21" i="1"/>
  <c r="Z21" i="1" s="1"/>
  <c r="U28" i="1"/>
  <c r="Z28" i="1" s="1"/>
  <c r="U30" i="1"/>
  <c r="Z30" i="1" s="1"/>
  <c r="U76" i="1"/>
  <c r="Z76" i="1" s="1"/>
  <c r="U73" i="1"/>
  <c r="Z73" i="1" s="1"/>
  <c r="U27" i="1"/>
  <c r="Z27" i="1" s="1"/>
  <c r="U31" i="1"/>
  <c r="Z31" i="1" s="1"/>
  <c r="U75" i="1"/>
  <c r="Z75" i="1" s="1"/>
  <c r="AA106" i="2"/>
  <c r="AC44" i="2"/>
  <c r="AB75" i="2"/>
  <c r="AE25" i="2"/>
  <c r="AF52" i="2"/>
  <c r="AA36" i="2"/>
  <c r="AU36" i="2" s="1"/>
  <c r="AF39" i="2"/>
  <c r="AF76" i="2"/>
  <c r="AJ77" i="2"/>
  <c r="AI10" i="2"/>
  <c r="AI13" i="2"/>
  <c r="AJ7" i="2"/>
  <c r="AJ81" i="2"/>
  <c r="AJ102" i="2"/>
  <c r="AK108" i="2"/>
  <c r="AJ30" i="2"/>
  <c r="AK12" i="2"/>
  <c r="AI74" i="2"/>
  <c r="AE6" i="2"/>
  <c r="AJ45" i="2"/>
  <c r="AI80" i="2"/>
  <c r="AF96" i="2"/>
  <c r="AF23" i="2"/>
  <c r="AJ44" i="2"/>
  <c r="AI76" i="2"/>
  <c r="AG51" i="2"/>
  <c r="AI86" i="2"/>
  <c r="AE13" i="2"/>
  <c r="AF21" i="2"/>
  <c r="AA39" i="2"/>
  <c r="AF48" i="2"/>
  <c r="AA76" i="2"/>
  <c r="AF80" i="2"/>
  <c r="AK91" i="2"/>
  <c r="AI94" i="2"/>
  <c r="AK109" i="2"/>
  <c r="AI6" i="2"/>
  <c r="AA9" i="2"/>
  <c r="AJ15" i="2"/>
  <c r="AK23" i="2"/>
  <c r="AE32" i="2"/>
  <c r="AK35" i="2"/>
  <c r="AE44" i="2"/>
  <c r="AK79" i="2"/>
  <c r="AB9" i="2"/>
  <c r="AA20" i="2"/>
  <c r="AI23" i="2"/>
  <c r="AC39" i="2"/>
  <c r="AC47" i="2"/>
  <c r="AG11" i="2"/>
  <c r="AI102" i="2"/>
  <c r="AA105" i="2"/>
  <c r="AA8" i="2"/>
  <c r="AI14" i="2"/>
  <c r="AK19" i="2"/>
  <c r="AA23" i="2"/>
  <c r="AC42" i="2"/>
  <c r="AG75" i="2"/>
  <c r="AE81" i="2"/>
  <c r="AI89" i="2"/>
  <c r="AG93" i="2"/>
  <c r="AG96" i="2"/>
  <c r="AG102" i="2"/>
  <c r="AJ22" i="2"/>
  <c r="AA31" i="2"/>
  <c r="AI37" i="2"/>
  <c r="AI45" i="2"/>
  <c r="AB49" i="2"/>
  <c r="AB52" i="2"/>
  <c r="AC89" i="2"/>
  <c r="AI96" i="2"/>
  <c r="AF14" i="2"/>
  <c r="AG34" i="2"/>
  <c r="AI78" i="2"/>
  <c r="AE96" i="2"/>
  <c r="AK104" i="2"/>
  <c r="AC13" i="2"/>
  <c r="AI21" i="2"/>
  <c r="AC40" i="2"/>
  <c r="AC45" i="2"/>
  <c r="AJ80" i="2"/>
  <c r="AK83" i="2"/>
  <c r="AG88" i="2"/>
  <c r="AF89" i="2"/>
  <c r="AG6" i="2"/>
  <c r="AC33" i="2"/>
  <c r="AE45" i="2"/>
  <c r="AI73" i="2"/>
  <c r="AE76" i="2"/>
  <c r="AA80" i="2"/>
  <c r="AI88" i="2"/>
  <c r="AG89" i="2"/>
  <c r="AJ95" i="2"/>
  <c r="AC14" i="2"/>
  <c r="AC15" i="2"/>
  <c r="AK20" i="2"/>
  <c r="AC21" i="2"/>
  <c r="AG22" i="2"/>
  <c r="AK38" i="2"/>
  <c r="AC43" i="2"/>
  <c r="AG81" i="2"/>
  <c r="AE87" i="2"/>
  <c r="AK92" i="2"/>
  <c r="AE95" i="2"/>
  <c r="AC103" i="2"/>
  <c r="AE106" i="2"/>
  <c r="AC107" i="2"/>
  <c r="AF6" i="2"/>
  <c r="AK9" i="2"/>
  <c r="AI12" i="2"/>
  <c r="AB13" i="2"/>
  <c r="AE20" i="2"/>
  <c r="AI29" i="2"/>
  <c r="AJ34" i="2"/>
  <c r="AG38" i="2"/>
  <c r="AA43" i="2"/>
  <c r="AF44" i="2"/>
  <c r="AG45" i="2"/>
  <c r="AK48" i="2"/>
  <c r="AI50" i="2"/>
  <c r="AK74" i="2"/>
  <c r="AJ76" i="2"/>
  <c r="AA79" i="2"/>
  <c r="AA86" i="2"/>
  <c r="AE93" i="2"/>
  <c r="AA94" i="2"/>
  <c r="AK101" i="2"/>
  <c r="AF12" i="2"/>
  <c r="AE14" i="2"/>
  <c r="AB21" i="2"/>
  <c r="AC25" i="2"/>
  <c r="AC29" i="2"/>
  <c r="AI33" i="2"/>
  <c r="AJ38" i="2"/>
  <c r="AG42" i="2"/>
  <c r="AK44" i="2"/>
  <c r="AB48" i="2"/>
  <c r="AK49" i="2"/>
  <c r="AC50" i="2"/>
  <c r="AC93" i="2"/>
  <c r="AA101" i="2"/>
  <c r="AA102" i="2"/>
  <c r="AK105" i="2"/>
  <c r="AG79" i="2"/>
  <c r="AB92" i="2"/>
  <c r="AA109" i="2"/>
  <c r="AC10" i="2"/>
  <c r="AC11" i="2"/>
  <c r="AG14" i="2"/>
  <c r="AC19" i="2"/>
  <c r="AC20" i="2"/>
  <c r="AG21" i="2"/>
  <c r="AK24" i="2"/>
  <c r="AC32" i="2"/>
  <c r="AE36" i="2"/>
  <c r="AC37" i="2"/>
  <c r="AC73" i="2"/>
  <c r="AK78" i="2"/>
  <c r="AB79" i="2"/>
  <c r="AA83" i="2"/>
  <c r="AJ86" i="2"/>
  <c r="AC92" i="2"/>
  <c r="AJ94" i="2"/>
  <c r="AG101" i="2"/>
  <c r="AG106" i="2"/>
  <c r="AG109" i="2"/>
  <c r="AB20" i="2"/>
  <c r="AK8" i="2"/>
  <c r="AB19" i="2"/>
  <c r="AF20" i="2"/>
  <c r="AB24" i="2"/>
  <c r="AA25" i="2"/>
  <c r="AU25" i="2" s="1"/>
  <c r="AK31" i="2"/>
  <c r="AC36" i="2"/>
  <c r="AE40" i="2"/>
  <c r="AK47" i="2"/>
  <c r="AA48" i="2"/>
  <c r="AE49" i="2"/>
  <c r="AA52" i="2"/>
  <c r="AG73" i="2"/>
  <c r="AE83" i="2"/>
  <c r="AK88" i="2"/>
  <c r="AI91" i="2"/>
  <c r="AE92" i="2"/>
  <c r="AF93" i="2"/>
  <c r="AK96" i="2"/>
  <c r="AK100" i="2"/>
  <c r="AC101" i="2"/>
  <c r="AG105" i="2"/>
  <c r="AJ106" i="2"/>
  <c r="AC48" i="2"/>
  <c r="AG49" i="2"/>
  <c r="AG83" i="2"/>
  <c r="AA88" i="2"/>
  <c r="AU88" i="2" s="1"/>
  <c r="AI90" i="2"/>
  <c r="AJ91" i="2"/>
  <c r="AF92" i="2"/>
  <c r="AA96" i="2"/>
  <c r="AC105" i="2"/>
  <c r="AC109" i="2"/>
  <c r="AE8" i="2"/>
  <c r="AC9" i="2"/>
  <c r="AE10" i="2"/>
  <c r="AJ11" i="2"/>
  <c r="AF25" i="2"/>
  <c r="AG31" i="2"/>
  <c r="AA32" i="2"/>
  <c r="AA35" i="2"/>
  <c r="AK39" i="2"/>
  <c r="AB44" i="2"/>
  <c r="AE48" i="2"/>
  <c r="AI49" i="2"/>
  <c r="AE73" i="2"/>
  <c r="AC77" i="2"/>
  <c r="AK82" i="2"/>
  <c r="AB83" i="2"/>
  <c r="AE89" i="2"/>
  <c r="AC90" i="2"/>
  <c r="AG92" i="2"/>
  <c r="AI93" i="2"/>
  <c r="AG7" i="2"/>
  <c r="AE9" i="2"/>
  <c r="AU9" i="2" s="1"/>
  <c r="AF10" i="2"/>
  <c r="AK13" i="2"/>
  <c r="AE24" i="2"/>
  <c r="AG25" i="2"/>
  <c r="AG32" i="2"/>
  <c r="AK45" i="2"/>
  <c r="AG46" i="2"/>
  <c r="AG47" i="2"/>
  <c r="AJ49" i="2"/>
  <c r="AJ73" i="2"/>
  <c r="AG77" i="2"/>
  <c r="AI92" i="2"/>
  <c r="AI100" i="2"/>
  <c r="AC6" i="2"/>
  <c r="AC7" i="2"/>
  <c r="AI9" i="2"/>
  <c r="AG10" i="2"/>
  <c r="AJ13" i="2"/>
  <c r="AU13" i="2"/>
  <c r="AI25" i="2"/>
  <c r="AK30" i="2"/>
  <c r="AC31" i="2"/>
  <c r="AJ32" i="2"/>
  <c r="AG36" i="2"/>
  <c r="AG40" i="2"/>
  <c r="AB45" i="2"/>
  <c r="AC46" i="2"/>
  <c r="AK51" i="2"/>
  <c r="AC52" i="2"/>
  <c r="AK75" i="2"/>
  <c r="AE80" i="2"/>
  <c r="AI81" i="2"/>
  <c r="AI82" i="2"/>
  <c r="AK87" i="2"/>
  <c r="AB88" i="2"/>
  <c r="AK95" i="2"/>
  <c r="AB96" i="2"/>
  <c r="AI104" i="2"/>
  <c r="AI108" i="2"/>
  <c r="AJ19" i="2"/>
  <c r="AJ21" i="2"/>
  <c r="AG15" i="2"/>
  <c r="AE21" i="2"/>
  <c r="AF31" i="2"/>
  <c r="AK34" i="2"/>
  <c r="AC35" i="2"/>
  <c r="AJ36" i="2"/>
  <c r="AK43" i="2"/>
  <c r="AA44" i="2"/>
  <c r="AC51" i="2"/>
  <c r="AE52" i="2"/>
  <c r="AA75" i="2"/>
  <c r="AE77" i="2"/>
  <c r="AC81" i="2"/>
  <c r="AC88" i="2"/>
  <c r="AJ90" i="2"/>
  <c r="AC96" i="2"/>
  <c r="AE102" i="2"/>
  <c r="AU102" i="2" s="1"/>
  <c r="AI103" i="2"/>
  <c r="AI107" i="2"/>
  <c r="AV122" i="2"/>
  <c r="J122" i="2" s="1"/>
  <c r="AB101" i="2"/>
  <c r="AF102" i="2"/>
  <c r="AJ103" i="2"/>
  <c r="AB105" i="2"/>
  <c r="AF106" i="2"/>
  <c r="AJ107" i="2"/>
  <c r="AB109" i="2"/>
  <c r="AA100" i="2"/>
  <c r="AE101" i="2"/>
  <c r="AA104" i="2"/>
  <c r="AE105" i="2"/>
  <c r="AU105" i="2" s="1"/>
  <c r="AI106" i="2"/>
  <c r="AA108" i="2"/>
  <c r="AE109" i="2"/>
  <c r="AB100" i="2"/>
  <c r="AF101" i="2"/>
  <c r="AB104" i="2"/>
  <c r="AF105" i="2"/>
  <c r="AB108" i="2"/>
  <c r="AF109" i="2"/>
  <c r="AC100" i="2"/>
  <c r="AK102" i="2"/>
  <c r="AC104" i="2"/>
  <c r="AK106" i="2"/>
  <c r="AC108" i="2"/>
  <c r="AK103" i="2"/>
  <c r="AE100" i="2"/>
  <c r="AI101" i="2"/>
  <c r="AA103" i="2"/>
  <c r="AE104" i="2"/>
  <c r="AI105" i="2"/>
  <c r="AA107" i="2"/>
  <c r="AE108" i="2"/>
  <c r="AI109" i="2"/>
  <c r="AF100" i="2"/>
  <c r="AJ101" i="2"/>
  <c r="AB103" i="2"/>
  <c r="AF104" i="2"/>
  <c r="AJ105" i="2"/>
  <c r="AB107" i="2"/>
  <c r="AF108" i="2"/>
  <c r="AJ109" i="2"/>
  <c r="AK107" i="2"/>
  <c r="AG100" i="2"/>
  <c r="AG104" i="2"/>
  <c r="AG108" i="2"/>
  <c r="AE103" i="2"/>
  <c r="AE107" i="2"/>
  <c r="AJ100" i="2"/>
  <c r="AB102" i="2"/>
  <c r="AF103" i="2"/>
  <c r="AJ104" i="2"/>
  <c r="AB106" i="2"/>
  <c r="AF107" i="2"/>
  <c r="AJ108" i="2"/>
  <c r="AC102" i="2"/>
  <c r="AG103" i="2"/>
  <c r="AC106" i="2"/>
  <c r="AG107" i="2"/>
  <c r="AK94" i="2"/>
  <c r="AA87" i="2"/>
  <c r="AA91" i="2"/>
  <c r="AA95" i="2"/>
  <c r="AB87" i="2"/>
  <c r="AJ89" i="2"/>
  <c r="AB91" i="2"/>
  <c r="AJ93" i="2"/>
  <c r="AB95" i="2"/>
  <c r="AC87" i="2"/>
  <c r="AK89" i="2"/>
  <c r="AC91" i="2"/>
  <c r="AK93" i="2"/>
  <c r="AC95" i="2"/>
  <c r="AK90" i="2"/>
  <c r="AA90" i="2"/>
  <c r="AE91" i="2"/>
  <c r="AB86" i="2"/>
  <c r="AF87" i="2"/>
  <c r="AJ88" i="2"/>
  <c r="AB90" i="2"/>
  <c r="AF91" i="2"/>
  <c r="AJ92" i="2"/>
  <c r="AB94" i="2"/>
  <c r="AF95" i="2"/>
  <c r="AJ96" i="2"/>
  <c r="AC86" i="2"/>
  <c r="AG87" i="2"/>
  <c r="AG91" i="2"/>
  <c r="AC94" i="2"/>
  <c r="AG95" i="2"/>
  <c r="AE86" i="2"/>
  <c r="AI87" i="2"/>
  <c r="AA89" i="2"/>
  <c r="AE90" i="2"/>
  <c r="AA93" i="2"/>
  <c r="AE94" i="2"/>
  <c r="AI95" i="2"/>
  <c r="AK86" i="2"/>
  <c r="AF86" i="2"/>
  <c r="AJ87" i="2"/>
  <c r="AB89" i="2"/>
  <c r="AF90" i="2"/>
  <c r="AB93" i="2"/>
  <c r="AT93" i="2" s="1"/>
  <c r="AF94" i="2"/>
  <c r="AG86" i="2"/>
  <c r="AG90" i="2"/>
  <c r="AG94" i="2"/>
  <c r="AK73" i="2"/>
  <c r="AC75" i="2"/>
  <c r="AG76" i="2"/>
  <c r="AK77" i="2"/>
  <c r="AC79" i="2"/>
  <c r="AG80" i="2"/>
  <c r="AK81" i="2"/>
  <c r="AC83" i="2"/>
  <c r="AA74" i="2"/>
  <c r="AE75" i="2"/>
  <c r="AA78" i="2"/>
  <c r="AE79" i="2"/>
  <c r="AA82" i="2"/>
  <c r="AB74" i="2"/>
  <c r="AF75" i="2"/>
  <c r="AB78" i="2"/>
  <c r="AF79" i="2"/>
  <c r="AB82" i="2"/>
  <c r="AF83" i="2"/>
  <c r="AC74" i="2"/>
  <c r="AK76" i="2"/>
  <c r="AC78" i="2"/>
  <c r="AK80" i="2"/>
  <c r="AC82" i="2"/>
  <c r="AA73" i="2"/>
  <c r="AE74" i="2"/>
  <c r="AI75" i="2"/>
  <c r="AA77" i="2"/>
  <c r="AE78" i="2"/>
  <c r="AI79" i="2"/>
  <c r="AA81" i="2"/>
  <c r="AU81" i="2" s="1"/>
  <c r="AE82" i="2"/>
  <c r="AI83" i="2"/>
  <c r="AB73" i="2"/>
  <c r="AF74" i="2"/>
  <c r="AJ75" i="2"/>
  <c r="AB77" i="2"/>
  <c r="AF78" i="2"/>
  <c r="AJ79" i="2"/>
  <c r="AB81" i="2"/>
  <c r="AF82" i="2"/>
  <c r="AJ83" i="2"/>
  <c r="AG74" i="2"/>
  <c r="AG78" i="2"/>
  <c r="AG82" i="2"/>
  <c r="AF73" i="2"/>
  <c r="AJ74" i="2"/>
  <c r="AB76" i="2"/>
  <c r="AF77" i="2"/>
  <c r="AJ78" i="2"/>
  <c r="AB80" i="2"/>
  <c r="AF81" i="2"/>
  <c r="AJ82" i="2"/>
  <c r="AC76" i="2"/>
  <c r="AC80" i="2"/>
  <c r="AK50" i="2"/>
  <c r="AI42" i="2"/>
  <c r="AI46" i="2"/>
  <c r="AJ42" i="2"/>
  <c r="AF45" i="2"/>
  <c r="AJ46" i="2"/>
  <c r="AF49" i="2"/>
  <c r="AJ50" i="2"/>
  <c r="AA51" i="2"/>
  <c r="AK42" i="2"/>
  <c r="AG44" i="2"/>
  <c r="AG48" i="2"/>
  <c r="AG52" i="2"/>
  <c r="AA47" i="2"/>
  <c r="AB51" i="2"/>
  <c r="AA42" i="2"/>
  <c r="AE43" i="2"/>
  <c r="AU43" i="2" s="1"/>
  <c r="AI44" i="2"/>
  <c r="AA46" i="2"/>
  <c r="AE47" i="2"/>
  <c r="AI48" i="2"/>
  <c r="AA50" i="2"/>
  <c r="AE51" i="2"/>
  <c r="AI52" i="2"/>
  <c r="AB47" i="2"/>
  <c r="AB42" i="2"/>
  <c r="AF43" i="2"/>
  <c r="AB46" i="2"/>
  <c r="AF47" i="2"/>
  <c r="AJ48" i="2"/>
  <c r="AB50" i="2"/>
  <c r="AF51" i="2"/>
  <c r="AJ52" i="2"/>
  <c r="AB43" i="2"/>
  <c r="AG43" i="2"/>
  <c r="AK52" i="2"/>
  <c r="AE42" i="2"/>
  <c r="AI43" i="2"/>
  <c r="AA45" i="2"/>
  <c r="AE46" i="2"/>
  <c r="AI47" i="2"/>
  <c r="AA49" i="2"/>
  <c r="AU49" i="2" s="1"/>
  <c r="AE50" i="2"/>
  <c r="AI51" i="2"/>
  <c r="AF42" i="2"/>
  <c r="AJ43" i="2"/>
  <c r="AF46" i="2"/>
  <c r="AJ47" i="2"/>
  <c r="AF50" i="2"/>
  <c r="AJ51" i="2"/>
  <c r="AC49" i="2"/>
  <c r="AG50" i="2"/>
  <c r="AJ29" i="2"/>
  <c r="AB31" i="2"/>
  <c r="AF32" i="2"/>
  <c r="AJ33" i="2"/>
  <c r="AB35" i="2"/>
  <c r="AF36" i="2"/>
  <c r="AJ37" i="2"/>
  <c r="AB39" i="2"/>
  <c r="AF40" i="2"/>
  <c r="AA30" i="2"/>
  <c r="AE31" i="2"/>
  <c r="AI32" i="2"/>
  <c r="AA34" i="2"/>
  <c r="AE35" i="2"/>
  <c r="AU35" i="2" s="1"/>
  <c r="AI36" i="2"/>
  <c r="AA38" i="2"/>
  <c r="AE39" i="2"/>
  <c r="AI40" i="2"/>
  <c r="AB34" i="2"/>
  <c r="AB38" i="2"/>
  <c r="AJ40" i="2"/>
  <c r="AC30" i="2"/>
  <c r="AK32" i="2"/>
  <c r="AC34" i="2"/>
  <c r="AG35" i="2"/>
  <c r="AK36" i="2"/>
  <c r="AC38" i="2"/>
  <c r="AG39" i="2"/>
  <c r="AK40" i="2"/>
  <c r="AB30" i="2"/>
  <c r="AA29" i="2"/>
  <c r="AE30" i="2"/>
  <c r="AI31" i="2"/>
  <c r="AA33" i="2"/>
  <c r="AE34" i="2"/>
  <c r="AI35" i="2"/>
  <c r="AA37" i="2"/>
  <c r="AE38" i="2"/>
  <c r="AI39" i="2"/>
  <c r="AB29" i="2"/>
  <c r="AF30" i="2"/>
  <c r="AJ31" i="2"/>
  <c r="AB33" i="2"/>
  <c r="AF34" i="2"/>
  <c r="AJ35" i="2"/>
  <c r="AB37" i="2"/>
  <c r="AF38" i="2"/>
  <c r="AJ39" i="2"/>
  <c r="AG30" i="2"/>
  <c r="AE29" i="2"/>
  <c r="AI30" i="2"/>
  <c r="AE33" i="2"/>
  <c r="AI34" i="2"/>
  <c r="AE37" i="2"/>
  <c r="AI38" i="2"/>
  <c r="AA40" i="2"/>
  <c r="AK29" i="2"/>
  <c r="AF29" i="2"/>
  <c r="AB32" i="2"/>
  <c r="AF33" i="2"/>
  <c r="AB36" i="2"/>
  <c r="AF37" i="2"/>
  <c r="AB40" i="2"/>
  <c r="AK33" i="2"/>
  <c r="AG29" i="2"/>
  <c r="AG33" i="2"/>
  <c r="AG37" i="2"/>
  <c r="AK37" i="2"/>
  <c r="AA19" i="2"/>
  <c r="AK22" i="2"/>
  <c r="AC24" i="2"/>
  <c r="AG20" i="2"/>
  <c r="AK21" i="2"/>
  <c r="AB23" i="2"/>
  <c r="AF24" i="2"/>
  <c r="AJ25" i="2"/>
  <c r="AE19" i="2"/>
  <c r="AI20" i="2"/>
  <c r="AC23" i="2"/>
  <c r="AG24" i="2"/>
  <c r="AK25" i="2"/>
  <c r="AF19" i="2"/>
  <c r="AJ20" i="2"/>
  <c r="AA22" i="2"/>
  <c r="AE23" i="2"/>
  <c r="AI24" i="2"/>
  <c r="AG19" i="2"/>
  <c r="AB22" i="2"/>
  <c r="AJ24" i="2"/>
  <c r="AI19" i="2"/>
  <c r="AA21" i="2"/>
  <c r="AU21" i="2" s="1"/>
  <c r="AC22" i="2"/>
  <c r="AG23" i="2"/>
  <c r="AE22" i="2"/>
  <c r="AF22" i="2"/>
  <c r="AJ23" i="2"/>
  <c r="AB25" i="2"/>
  <c r="AI22" i="2"/>
  <c r="AA24" i="2"/>
  <c r="AI7" i="2"/>
  <c r="AI11" i="2"/>
  <c r="AI15" i="2"/>
  <c r="AA12" i="2"/>
  <c r="AJ6" i="2"/>
  <c r="AB8" i="2"/>
  <c r="AF9" i="2"/>
  <c r="AJ10" i="2"/>
  <c r="AB12" i="2"/>
  <c r="AF13" i="2"/>
  <c r="AJ14" i="2"/>
  <c r="AK15" i="2"/>
  <c r="AK6" i="2"/>
  <c r="AC8" i="2"/>
  <c r="AG9" i="2"/>
  <c r="AK10" i="2"/>
  <c r="AC12" i="2"/>
  <c r="AG13" i="2"/>
  <c r="AK14" i="2"/>
  <c r="AK11" i="2"/>
  <c r="AA7" i="2"/>
  <c r="AA11" i="2"/>
  <c r="AE12" i="2"/>
  <c r="AA15" i="2"/>
  <c r="AB7" i="2"/>
  <c r="AF8" i="2"/>
  <c r="AJ9" i="2"/>
  <c r="AB11" i="2"/>
  <c r="AB15" i="2"/>
  <c r="AK7" i="2"/>
  <c r="AG8" i="2"/>
  <c r="AG12" i="2"/>
  <c r="AA6" i="2"/>
  <c r="AE7" i="2"/>
  <c r="AI8" i="2"/>
  <c r="AA10" i="2"/>
  <c r="AE11" i="2"/>
  <c r="AA14" i="2"/>
  <c r="AU14" i="2" s="1"/>
  <c r="AE15" i="2"/>
  <c r="AB6" i="2"/>
  <c r="AF7" i="2"/>
  <c r="AJ8" i="2"/>
  <c r="AB10" i="2"/>
  <c r="AF11" i="2"/>
  <c r="AJ12" i="2"/>
  <c r="AB14" i="2"/>
  <c r="AF15" i="2"/>
  <c r="AU6" i="2" l="1"/>
  <c r="AU40" i="2"/>
  <c r="AU39" i="2"/>
  <c r="AU8" i="2"/>
  <c r="AU92" i="2"/>
  <c r="J124" i="2"/>
  <c r="AU44" i="2"/>
  <c r="AU75" i="2"/>
  <c r="AU76" i="2"/>
  <c r="Z23" i="1"/>
  <c r="AU31" i="2"/>
  <c r="AU45" i="2"/>
  <c r="AU109" i="2"/>
  <c r="AU101" i="2"/>
  <c r="AU32" i="2"/>
  <c r="AU106" i="2"/>
  <c r="AU80" i="2"/>
  <c r="AU15" i="2"/>
  <c r="AU86" i="2"/>
  <c r="AT20" i="2"/>
  <c r="AU50" i="2"/>
  <c r="AU20" i="2"/>
  <c r="AU77" i="2"/>
  <c r="AU87" i="2"/>
  <c r="AT52" i="2"/>
  <c r="AT89" i="2"/>
  <c r="AU46" i="2"/>
  <c r="AU78" i="2"/>
  <c r="AU24" i="2"/>
  <c r="AU73" i="2"/>
  <c r="AU23" i="2"/>
  <c r="AT44" i="2"/>
  <c r="AU96" i="2"/>
  <c r="AU10" i="2"/>
  <c r="AT10" i="2"/>
  <c r="AU79" i="2"/>
  <c r="Z37" i="1"/>
  <c r="Z81" i="1"/>
  <c r="AU91" i="2"/>
  <c r="AU82" i="2"/>
  <c r="AU37" i="2"/>
  <c r="AU51" i="2"/>
  <c r="AU89" i="2"/>
  <c r="AU7" i="2"/>
  <c r="AU38" i="2"/>
  <c r="AU83" i="2"/>
  <c r="AT48" i="2"/>
  <c r="AT75" i="2"/>
  <c r="AV75" i="2" s="1"/>
  <c r="J75" i="2" s="1"/>
  <c r="AT96" i="2"/>
  <c r="AT36" i="2"/>
  <c r="AV36" i="2" s="1"/>
  <c r="J36" i="2" s="1"/>
  <c r="AT31" i="2"/>
  <c r="AT106" i="2"/>
  <c r="AU103" i="2"/>
  <c r="AU100" i="2"/>
  <c r="AT73" i="2"/>
  <c r="AT19" i="2"/>
  <c r="AU33" i="2"/>
  <c r="AU48" i="2"/>
  <c r="AT49" i="2"/>
  <c r="AV49" i="2" s="1"/>
  <c r="J49" i="2" s="1"/>
  <c r="AU90" i="2"/>
  <c r="AU107" i="2"/>
  <c r="AU74" i="2"/>
  <c r="AT83" i="2"/>
  <c r="AT88" i="2"/>
  <c r="AV88" i="2" s="1"/>
  <c r="J88" i="2" s="1"/>
  <c r="AT6" i="2"/>
  <c r="AV6" i="2" s="1"/>
  <c r="J6" i="2" s="1"/>
  <c r="AT22" i="2"/>
  <c r="AU19" i="2"/>
  <c r="AT32" i="2"/>
  <c r="AT87" i="2"/>
  <c r="AT102" i="2"/>
  <c r="AV102" i="2" s="1"/>
  <c r="J102" i="2" s="1"/>
  <c r="AT13" i="2"/>
  <c r="AV13" i="2" s="1"/>
  <c r="J13" i="2" s="1"/>
  <c r="AT79" i="2"/>
  <c r="AU94" i="2"/>
  <c r="AU52" i="2"/>
  <c r="AT92" i="2"/>
  <c r="AT24" i="2"/>
  <c r="AU93" i="2"/>
  <c r="AV93" i="2" s="1"/>
  <c r="J93" i="2" s="1"/>
  <c r="AU95" i="2"/>
  <c r="AT105" i="2"/>
  <c r="AV105" i="2" s="1"/>
  <c r="J105" i="2" s="1"/>
  <c r="AT25" i="2"/>
  <c r="AV25" i="2" s="1"/>
  <c r="J25" i="2" s="1"/>
  <c r="AT9" i="2"/>
  <c r="AV9" i="2" s="1"/>
  <c r="J9" i="2" s="1"/>
  <c r="AU22" i="2"/>
  <c r="AU30" i="2"/>
  <c r="AU108" i="2"/>
  <c r="AT21" i="2"/>
  <c r="AV21" i="2" s="1"/>
  <c r="J21" i="2" s="1"/>
  <c r="AU11" i="2"/>
  <c r="AT7" i="2"/>
  <c r="AU29" i="2"/>
  <c r="AT38" i="2"/>
  <c r="AT39" i="2"/>
  <c r="AV39" i="2" s="1"/>
  <c r="J39" i="2" s="1"/>
  <c r="AT46" i="2"/>
  <c r="AU42" i="2"/>
  <c r="AT14" i="2"/>
  <c r="AV14" i="2" s="1"/>
  <c r="J14" i="2" s="1"/>
  <c r="AT30" i="2"/>
  <c r="AT51" i="2"/>
  <c r="AT45" i="2"/>
  <c r="AU104" i="2"/>
  <c r="AU12" i="2"/>
  <c r="AT40" i="2"/>
  <c r="AV40" i="2" s="1"/>
  <c r="AT42" i="2"/>
  <c r="AU47" i="2"/>
  <c r="AT108" i="2"/>
  <c r="AT103" i="2"/>
  <c r="AT104" i="2"/>
  <c r="AT109" i="2"/>
  <c r="AT100" i="2"/>
  <c r="AT101" i="2"/>
  <c r="AV101" i="2" s="1"/>
  <c r="J101" i="2" s="1"/>
  <c r="AT107" i="2"/>
  <c r="AT94" i="2"/>
  <c r="AT90" i="2"/>
  <c r="AT95" i="2"/>
  <c r="AT86" i="2"/>
  <c r="AT91" i="2"/>
  <c r="AT78" i="2"/>
  <c r="AT74" i="2"/>
  <c r="AT80" i="2"/>
  <c r="AT81" i="2"/>
  <c r="AV81" i="2" s="1"/>
  <c r="J81" i="2" s="1"/>
  <c r="AT76" i="2"/>
  <c r="AT77" i="2"/>
  <c r="AT82" i="2"/>
  <c r="AT47" i="2"/>
  <c r="AT43" i="2"/>
  <c r="AV43" i="2" s="1"/>
  <c r="J43" i="2" s="1"/>
  <c r="AT50" i="2"/>
  <c r="AT33" i="2"/>
  <c r="AT34" i="2"/>
  <c r="AT29" i="2"/>
  <c r="AT35" i="2"/>
  <c r="AV35" i="2" s="1"/>
  <c r="J35" i="2" s="1"/>
  <c r="AU34" i="2"/>
  <c r="AT37" i="2"/>
  <c r="AT23" i="2"/>
  <c r="AT8" i="2"/>
  <c r="AV8" i="2" s="1"/>
  <c r="J8" i="2" s="1"/>
  <c r="AT11" i="2"/>
  <c r="AT12" i="2"/>
  <c r="AT15" i="2"/>
  <c r="AV15" i="2" s="1"/>
  <c r="J15" i="2" s="1"/>
  <c r="AV86" i="2" l="1"/>
  <c r="J86" i="2" s="1"/>
  <c r="AV76" i="2"/>
  <c r="J76" i="2" s="1"/>
  <c r="AV109" i="2"/>
  <c r="J109" i="2" s="1"/>
  <c r="AV31" i="2"/>
  <c r="J31" i="2" s="1"/>
  <c r="AV45" i="2"/>
  <c r="J45" i="2" s="1"/>
  <c r="AV87" i="2"/>
  <c r="J87" i="2" s="1"/>
  <c r="AV92" i="2"/>
  <c r="J92" i="2" s="1"/>
  <c r="AV11" i="2"/>
  <c r="J11" i="2" s="1"/>
  <c r="AV77" i="2"/>
  <c r="J77" i="2" s="1"/>
  <c r="AV44" i="2"/>
  <c r="J44" i="2" s="1"/>
  <c r="AV38" i="2"/>
  <c r="J38" i="2" s="1"/>
  <c r="AV32" i="2"/>
  <c r="J32" i="2" s="1"/>
  <c r="AV106" i="2"/>
  <c r="J106" i="2" s="1"/>
  <c r="AV37" i="2"/>
  <c r="J37" i="2" s="1"/>
  <c r="AV51" i="2"/>
  <c r="J51" i="2" s="1"/>
  <c r="AV73" i="2"/>
  <c r="J73" i="2" s="1"/>
  <c r="AV95" i="2"/>
  <c r="J95" i="2" s="1"/>
  <c r="AV23" i="2"/>
  <c r="J23" i="2" s="1"/>
  <c r="AV30" i="2"/>
  <c r="J30" i="2" s="1"/>
  <c r="AV50" i="2"/>
  <c r="J50" i="2" s="1"/>
  <c r="AV29" i="2"/>
  <c r="J29" i="2" s="1"/>
  <c r="AV19" i="2"/>
  <c r="J19" i="2" s="1"/>
  <c r="AV7" i="2"/>
  <c r="J7" i="2" s="1"/>
  <c r="AV33" i="2"/>
  <c r="J33" i="2" s="1"/>
  <c r="AV80" i="2"/>
  <c r="J80" i="2" s="1"/>
  <c r="AV52" i="2"/>
  <c r="J52" i="2" s="1"/>
  <c r="AV10" i="2"/>
  <c r="J10" i="2" s="1"/>
  <c r="AV90" i="2"/>
  <c r="J90" i="2" s="1"/>
  <c r="AV20" i="2"/>
  <c r="J20" i="2" s="1"/>
  <c r="AV103" i="2"/>
  <c r="J103" i="2" s="1"/>
  <c r="AV46" i="2"/>
  <c r="J46" i="2" s="1"/>
  <c r="AV82" i="2"/>
  <c r="J82" i="2" s="1"/>
  <c r="AV89" i="2"/>
  <c r="J89" i="2" s="1"/>
  <c r="AV24" i="2"/>
  <c r="J24" i="2" s="1"/>
  <c r="AV12" i="2"/>
  <c r="J12" i="2" s="1"/>
  <c r="AV74" i="2"/>
  <c r="J74" i="2" s="1"/>
  <c r="AV78" i="2"/>
  <c r="J78" i="2" s="1"/>
  <c r="AV91" i="2"/>
  <c r="J91" i="2" s="1"/>
  <c r="AV22" i="2"/>
  <c r="J22" i="2" s="1"/>
  <c r="AV79" i="2"/>
  <c r="J79" i="2" s="1"/>
  <c r="AV96" i="2"/>
  <c r="J96" i="2" s="1"/>
  <c r="AV48" i="2"/>
  <c r="J48" i="2" s="1"/>
  <c r="AV107" i="2"/>
  <c r="J107" i="2" s="1"/>
  <c r="AV83" i="2"/>
  <c r="J83" i="2" s="1"/>
  <c r="AV100" i="2"/>
  <c r="J100" i="2" s="1"/>
  <c r="AV104" i="2"/>
  <c r="J104" i="2" s="1"/>
  <c r="AV108" i="2"/>
  <c r="J108" i="2" s="1"/>
  <c r="AV94" i="2"/>
  <c r="J94" i="2" s="1"/>
  <c r="AV42" i="2"/>
  <c r="J42" i="2" s="1"/>
  <c r="AV47" i="2"/>
  <c r="J47" i="2" s="1"/>
  <c r="AV34" i="2"/>
  <c r="J34" i="2" s="1"/>
  <c r="J17" i="2" l="1"/>
  <c r="J40" i="2"/>
  <c r="J26" i="2"/>
  <c r="J84" i="2"/>
  <c r="J97" i="2"/>
  <c r="J53" i="2"/>
  <c r="J111" i="2"/>
  <c r="X67" i="1"/>
  <c r="S67" i="1"/>
  <c r="L67" i="1"/>
  <c r="K67" i="1"/>
  <c r="J67" i="1"/>
  <c r="I67" i="1"/>
  <c r="X66" i="1"/>
  <c r="S66" i="1"/>
  <c r="L66" i="1"/>
  <c r="K66" i="1"/>
  <c r="U66" i="1" s="1"/>
  <c r="Z66" i="1" s="1"/>
  <c r="J66" i="1"/>
  <c r="I66" i="1"/>
  <c r="AQ70" i="2"/>
  <c r="AP70" i="2"/>
  <c r="AO70" i="2"/>
  <c r="AN70" i="2"/>
  <c r="Y70" i="2"/>
  <c r="X70" i="2"/>
  <c r="W70" i="2"/>
  <c r="V70" i="2"/>
  <c r="Y69" i="2"/>
  <c r="X69" i="2"/>
  <c r="W69" i="2"/>
  <c r="V69" i="2"/>
  <c r="AP69" i="2"/>
  <c r="AO69" i="2"/>
  <c r="AQ69" i="2"/>
  <c r="AQ66" i="2"/>
  <c r="AP66" i="2"/>
  <c r="AO66" i="2"/>
  <c r="AN66" i="2"/>
  <c r="Y66" i="2"/>
  <c r="X66" i="2"/>
  <c r="W66" i="2"/>
  <c r="V66" i="2"/>
  <c r="AQ65" i="2"/>
  <c r="AP65" i="2"/>
  <c r="AO65" i="2"/>
  <c r="AN65" i="2"/>
  <c r="Y65" i="2"/>
  <c r="X65" i="2"/>
  <c r="W65" i="2"/>
  <c r="V65" i="2"/>
  <c r="AQ64" i="2"/>
  <c r="AP64" i="2"/>
  <c r="AO64" i="2"/>
  <c r="AN64" i="2"/>
  <c r="Y64" i="2"/>
  <c r="X64" i="2"/>
  <c r="W64" i="2"/>
  <c r="V64" i="2"/>
  <c r="AQ63" i="2"/>
  <c r="AP63" i="2"/>
  <c r="AO63" i="2"/>
  <c r="AN63" i="2"/>
  <c r="Y63" i="2"/>
  <c r="X63" i="2"/>
  <c r="W63" i="2"/>
  <c r="V63" i="2"/>
  <c r="AQ62" i="2"/>
  <c r="AP62" i="2"/>
  <c r="AO62" i="2"/>
  <c r="AN62" i="2"/>
  <c r="Y62" i="2"/>
  <c r="X62" i="2"/>
  <c r="W62" i="2"/>
  <c r="V62" i="2"/>
  <c r="AQ61" i="2"/>
  <c r="AP61" i="2"/>
  <c r="AO61" i="2"/>
  <c r="AN61" i="2"/>
  <c r="Y61" i="2"/>
  <c r="X61" i="2"/>
  <c r="W61" i="2"/>
  <c r="V61" i="2"/>
  <c r="AQ60" i="2"/>
  <c r="AP60" i="2"/>
  <c r="AO60" i="2"/>
  <c r="AN60" i="2"/>
  <c r="Y60" i="2"/>
  <c r="X60" i="2"/>
  <c r="W60" i="2"/>
  <c r="V60" i="2"/>
  <c r="AQ59" i="2"/>
  <c r="AP59" i="2"/>
  <c r="AO59" i="2"/>
  <c r="AN59" i="2"/>
  <c r="Y59" i="2"/>
  <c r="X59" i="2"/>
  <c r="W59" i="2"/>
  <c r="V59" i="2"/>
  <c r="AQ58" i="2"/>
  <c r="AP58" i="2"/>
  <c r="AO58" i="2"/>
  <c r="AN58" i="2"/>
  <c r="Y58" i="2"/>
  <c r="X58" i="2"/>
  <c r="W58" i="2"/>
  <c r="V58" i="2"/>
  <c r="AQ57" i="2"/>
  <c r="AP57" i="2"/>
  <c r="AO57" i="2"/>
  <c r="AN57" i="2"/>
  <c r="Y57" i="2"/>
  <c r="X57" i="2"/>
  <c r="W57" i="2"/>
  <c r="V57" i="2"/>
  <c r="AQ56" i="2"/>
  <c r="AP56" i="2"/>
  <c r="AO56" i="2"/>
  <c r="AN56" i="2"/>
  <c r="Y56" i="2"/>
  <c r="X56" i="2"/>
  <c r="W56" i="2"/>
  <c r="V56" i="2"/>
  <c r="X54" i="1"/>
  <c r="X55" i="1"/>
  <c r="X56" i="1"/>
  <c r="X57" i="1"/>
  <c r="X58" i="1"/>
  <c r="X59" i="1"/>
  <c r="X60" i="1"/>
  <c r="X61" i="1"/>
  <c r="X62" i="1"/>
  <c r="X63" i="1"/>
  <c r="S63" i="1"/>
  <c r="L63" i="1"/>
  <c r="K63" i="1"/>
  <c r="J63" i="1"/>
  <c r="I63" i="1"/>
  <c r="S62" i="1"/>
  <c r="L62" i="1"/>
  <c r="K62" i="1"/>
  <c r="J62" i="1"/>
  <c r="I62" i="1"/>
  <c r="S61" i="1"/>
  <c r="L61" i="1"/>
  <c r="K61" i="1"/>
  <c r="J61" i="1"/>
  <c r="I61" i="1"/>
  <c r="S60" i="1"/>
  <c r="L60" i="1"/>
  <c r="K60" i="1"/>
  <c r="J60" i="1"/>
  <c r="I60" i="1"/>
  <c r="S59" i="1"/>
  <c r="L59" i="1"/>
  <c r="K59" i="1"/>
  <c r="J59" i="1"/>
  <c r="I59" i="1"/>
  <c r="S58" i="1"/>
  <c r="L58" i="1"/>
  <c r="K58" i="1"/>
  <c r="J58" i="1"/>
  <c r="I58" i="1"/>
  <c r="S57" i="1"/>
  <c r="L57" i="1"/>
  <c r="K57" i="1"/>
  <c r="J57" i="1"/>
  <c r="I57" i="1"/>
  <c r="S56" i="1"/>
  <c r="L56" i="1"/>
  <c r="K56" i="1"/>
  <c r="J56" i="1"/>
  <c r="I56" i="1"/>
  <c r="S55" i="1"/>
  <c r="L55" i="1"/>
  <c r="K55" i="1"/>
  <c r="J55" i="1"/>
  <c r="I55" i="1"/>
  <c r="S54" i="1"/>
  <c r="L54" i="1"/>
  <c r="K54" i="1"/>
  <c r="J54" i="1"/>
  <c r="I54" i="1"/>
  <c r="X53" i="1"/>
  <c r="S53" i="1"/>
  <c r="L53" i="1"/>
  <c r="K53" i="1"/>
  <c r="J53" i="1"/>
  <c r="I53" i="1"/>
  <c r="I13" i="4"/>
  <c r="I14" i="4"/>
  <c r="I15" i="4"/>
  <c r="I12" i="4"/>
  <c r="K15" i="4"/>
  <c r="K14" i="4"/>
  <c r="K13" i="4"/>
  <c r="K12" i="4"/>
  <c r="I6" i="4"/>
  <c r="I7" i="4"/>
  <c r="I8" i="4"/>
  <c r="I9" i="4"/>
  <c r="K9" i="4"/>
  <c r="K8" i="4"/>
  <c r="K7" i="4"/>
  <c r="K6" i="4"/>
  <c r="K10" i="4" s="1"/>
  <c r="S26" i="3"/>
  <c r="R26" i="3"/>
  <c r="L26" i="3"/>
  <c r="K26" i="3"/>
  <c r="J26" i="3"/>
  <c r="I26" i="3"/>
  <c r="S25" i="3"/>
  <c r="R25" i="3"/>
  <c r="L25" i="3"/>
  <c r="K25" i="3"/>
  <c r="J25" i="3"/>
  <c r="I25" i="3"/>
  <c r="S24" i="3"/>
  <c r="R24" i="3"/>
  <c r="L24" i="3"/>
  <c r="K24" i="3"/>
  <c r="J24" i="3"/>
  <c r="I24" i="3"/>
  <c r="S23" i="3"/>
  <c r="R23" i="3"/>
  <c r="L23" i="3"/>
  <c r="K23" i="3"/>
  <c r="J23" i="3"/>
  <c r="I23" i="3"/>
  <c r="S22" i="3"/>
  <c r="R22" i="3"/>
  <c r="L22" i="3"/>
  <c r="K22" i="3"/>
  <c r="J22" i="3"/>
  <c r="I22" i="3"/>
  <c r="S21" i="3"/>
  <c r="R21" i="3"/>
  <c r="L21" i="3"/>
  <c r="K21" i="3"/>
  <c r="J21" i="3"/>
  <c r="I21" i="3"/>
  <c r="S20" i="3"/>
  <c r="R20" i="3"/>
  <c r="L20" i="3"/>
  <c r="K20" i="3"/>
  <c r="J20" i="3"/>
  <c r="I20" i="3"/>
  <c r="S19" i="3"/>
  <c r="R19" i="3"/>
  <c r="L19" i="3"/>
  <c r="K19" i="3"/>
  <c r="J19" i="3"/>
  <c r="I19" i="3"/>
  <c r="S16" i="3"/>
  <c r="U16" i="3" s="1"/>
  <c r="X16" i="3" s="1"/>
  <c r="Y16" i="3" s="1"/>
  <c r="R16" i="3"/>
  <c r="L16" i="3"/>
  <c r="K16" i="3"/>
  <c r="J16" i="3"/>
  <c r="I16" i="3"/>
  <c r="S15" i="3"/>
  <c r="R15" i="3"/>
  <c r="L15" i="3"/>
  <c r="K15" i="3"/>
  <c r="J15" i="3"/>
  <c r="I15" i="3"/>
  <c r="S14" i="3"/>
  <c r="R14" i="3"/>
  <c r="L14" i="3"/>
  <c r="K14" i="3"/>
  <c r="J14" i="3"/>
  <c r="I14" i="3"/>
  <c r="S13" i="3"/>
  <c r="R13" i="3"/>
  <c r="L13" i="3"/>
  <c r="K13" i="3"/>
  <c r="J13" i="3"/>
  <c r="I13" i="3"/>
  <c r="S12" i="3"/>
  <c r="R12" i="3"/>
  <c r="L12" i="3"/>
  <c r="K12" i="3"/>
  <c r="J12" i="3"/>
  <c r="I12" i="3"/>
  <c r="S11" i="3"/>
  <c r="R11" i="3"/>
  <c r="L11" i="3"/>
  <c r="K11" i="3"/>
  <c r="J11" i="3"/>
  <c r="I11" i="3"/>
  <c r="S10" i="3"/>
  <c r="R10" i="3"/>
  <c r="L10" i="3"/>
  <c r="K10" i="3"/>
  <c r="J10" i="3"/>
  <c r="I10" i="3"/>
  <c r="S9" i="3"/>
  <c r="R9" i="3"/>
  <c r="L9" i="3"/>
  <c r="K9" i="3"/>
  <c r="J9" i="3"/>
  <c r="I9" i="3"/>
  <c r="S8" i="3"/>
  <c r="R8" i="3"/>
  <c r="L8" i="3"/>
  <c r="K8" i="3"/>
  <c r="J8" i="3"/>
  <c r="I8" i="3"/>
  <c r="S7" i="3"/>
  <c r="R7" i="3"/>
  <c r="L7" i="3"/>
  <c r="K7" i="3"/>
  <c r="J7" i="3"/>
  <c r="I7" i="3"/>
  <c r="S6" i="3"/>
  <c r="R6" i="3"/>
  <c r="L6" i="3"/>
  <c r="K6" i="3"/>
  <c r="J6" i="3"/>
  <c r="I6" i="3"/>
  <c r="AQ165" i="2"/>
  <c r="AP165" i="2"/>
  <c r="AO165" i="2"/>
  <c r="AN165" i="2"/>
  <c r="Y165" i="2"/>
  <c r="X165" i="2"/>
  <c r="W165" i="2"/>
  <c r="V165" i="2"/>
  <c r="AQ164" i="2"/>
  <c r="AP164" i="2"/>
  <c r="AO164" i="2"/>
  <c r="AN164" i="2"/>
  <c r="Y164" i="2"/>
  <c r="X164" i="2"/>
  <c r="W164" i="2"/>
  <c r="V164" i="2"/>
  <c r="AQ163" i="2"/>
  <c r="AP163" i="2"/>
  <c r="AO163" i="2"/>
  <c r="AN163" i="2"/>
  <c r="Y163" i="2"/>
  <c r="X163" i="2"/>
  <c r="W163" i="2"/>
  <c r="V163" i="2"/>
  <c r="AQ162" i="2"/>
  <c r="AP162" i="2"/>
  <c r="AO162" i="2"/>
  <c r="AN162" i="2"/>
  <c r="Y162" i="2"/>
  <c r="X162" i="2"/>
  <c r="W162" i="2"/>
  <c r="V162" i="2"/>
  <c r="AQ161" i="2"/>
  <c r="AP161" i="2"/>
  <c r="AO161" i="2"/>
  <c r="AN161" i="2"/>
  <c r="Y161" i="2"/>
  <c r="X161" i="2"/>
  <c r="W161" i="2"/>
  <c r="V161" i="2"/>
  <c r="AQ160" i="2"/>
  <c r="AP160" i="2"/>
  <c r="AO160" i="2"/>
  <c r="AN160" i="2"/>
  <c r="Y160" i="2"/>
  <c r="X160" i="2"/>
  <c r="W160" i="2"/>
  <c r="V160" i="2"/>
  <c r="AQ159" i="2"/>
  <c r="AP159" i="2"/>
  <c r="AO159" i="2"/>
  <c r="AN159" i="2"/>
  <c r="Y159" i="2"/>
  <c r="X159" i="2"/>
  <c r="W159" i="2"/>
  <c r="V159" i="2"/>
  <c r="AQ158" i="2"/>
  <c r="AP158" i="2"/>
  <c r="AO158" i="2"/>
  <c r="AN158" i="2"/>
  <c r="Y158" i="2"/>
  <c r="X158" i="2"/>
  <c r="W158" i="2"/>
  <c r="V158" i="2"/>
  <c r="AQ157" i="2"/>
  <c r="AP157" i="2"/>
  <c r="AO157" i="2"/>
  <c r="AN157" i="2"/>
  <c r="Y157" i="2"/>
  <c r="X157" i="2"/>
  <c r="W157" i="2"/>
  <c r="V157" i="2"/>
  <c r="AQ156" i="2"/>
  <c r="AP156" i="2"/>
  <c r="AO156" i="2"/>
  <c r="AN156" i="2"/>
  <c r="Y156" i="2"/>
  <c r="X156" i="2"/>
  <c r="W156" i="2"/>
  <c r="V156" i="2"/>
  <c r="X153" i="1"/>
  <c r="X154" i="1"/>
  <c r="X155" i="1"/>
  <c r="X156" i="1"/>
  <c r="X157" i="1"/>
  <c r="X158" i="1"/>
  <c r="X159" i="1"/>
  <c r="X160" i="1"/>
  <c r="X161" i="1"/>
  <c r="X162" i="1"/>
  <c r="S162" i="1"/>
  <c r="L162" i="1"/>
  <c r="K162" i="1"/>
  <c r="J162" i="1"/>
  <c r="I162" i="1"/>
  <c r="S161" i="1"/>
  <c r="L161" i="1"/>
  <c r="K161" i="1"/>
  <c r="J161" i="1"/>
  <c r="I161" i="1"/>
  <c r="S160" i="1"/>
  <c r="L160" i="1"/>
  <c r="K160" i="1"/>
  <c r="J160" i="1"/>
  <c r="I160" i="1"/>
  <c r="S159" i="1"/>
  <c r="L159" i="1"/>
  <c r="K159" i="1"/>
  <c r="J159" i="1"/>
  <c r="I159" i="1"/>
  <c r="S158" i="1"/>
  <c r="L158" i="1"/>
  <c r="K158" i="1"/>
  <c r="J158" i="1"/>
  <c r="I158" i="1"/>
  <c r="S157" i="1"/>
  <c r="L157" i="1"/>
  <c r="K157" i="1"/>
  <c r="J157" i="1"/>
  <c r="I157" i="1"/>
  <c r="S156" i="1"/>
  <c r="L156" i="1"/>
  <c r="K156" i="1"/>
  <c r="J156" i="1"/>
  <c r="I156" i="1"/>
  <c r="S155" i="1"/>
  <c r="L155" i="1"/>
  <c r="K155" i="1"/>
  <c r="J155" i="1"/>
  <c r="I155" i="1"/>
  <c r="S154" i="1"/>
  <c r="L154" i="1"/>
  <c r="K154" i="1"/>
  <c r="J154" i="1"/>
  <c r="I154" i="1"/>
  <c r="S153" i="1"/>
  <c r="L153" i="1"/>
  <c r="K153" i="1"/>
  <c r="J153" i="1"/>
  <c r="I153" i="1"/>
  <c r="AQ137" i="2"/>
  <c r="AP137" i="2"/>
  <c r="AO137" i="2"/>
  <c r="AN137" i="2"/>
  <c r="Y137" i="2"/>
  <c r="X137" i="2"/>
  <c r="W137" i="2"/>
  <c r="V137" i="2"/>
  <c r="AQ136" i="2"/>
  <c r="AP136" i="2"/>
  <c r="AO136" i="2"/>
  <c r="AN136" i="2"/>
  <c r="Y136" i="2"/>
  <c r="X136" i="2"/>
  <c r="W136" i="2"/>
  <c r="V136" i="2"/>
  <c r="AQ135" i="2"/>
  <c r="AP135" i="2"/>
  <c r="AO135" i="2"/>
  <c r="AN135" i="2"/>
  <c r="Y135" i="2"/>
  <c r="X135" i="2"/>
  <c r="W135" i="2"/>
  <c r="V135" i="2"/>
  <c r="AQ134" i="2"/>
  <c r="AP134" i="2"/>
  <c r="AO134" i="2"/>
  <c r="AN134" i="2"/>
  <c r="Y134" i="2"/>
  <c r="X134" i="2"/>
  <c r="W134" i="2"/>
  <c r="V134" i="2"/>
  <c r="AQ133" i="2"/>
  <c r="AP133" i="2"/>
  <c r="AO133" i="2"/>
  <c r="AN133" i="2"/>
  <c r="Y133" i="2"/>
  <c r="X133" i="2"/>
  <c r="W133" i="2"/>
  <c r="V133" i="2"/>
  <c r="AQ132" i="2"/>
  <c r="AP132" i="2"/>
  <c r="AO132" i="2"/>
  <c r="AN132" i="2"/>
  <c r="Y132" i="2"/>
  <c r="X132" i="2"/>
  <c r="W132" i="2"/>
  <c r="V132" i="2"/>
  <c r="Y131" i="2"/>
  <c r="X131" i="2"/>
  <c r="W131" i="2"/>
  <c r="V131" i="2"/>
  <c r="O131" i="2"/>
  <c r="N131" i="2"/>
  <c r="M131" i="2"/>
  <c r="L131" i="2"/>
  <c r="AQ130" i="2"/>
  <c r="AP130" i="2"/>
  <c r="AO130" i="2"/>
  <c r="AN130" i="2"/>
  <c r="Y130" i="2"/>
  <c r="X130" i="2"/>
  <c r="W130" i="2"/>
  <c r="V130" i="2"/>
  <c r="AQ129" i="2"/>
  <c r="AP129" i="2"/>
  <c r="AO129" i="2"/>
  <c r="AN129" i="2"/>
  <c r="Y129" i="2"/>
  <c r="X129" i="2"/>
  <c r="W129" i="2"/>
  <c r="V129" i="2"/>
  <c r="AQ128" i="2"/>
  <c r="AP128" i="2"/>
  <c r="AO128" i="2"/>
  <c r="AN128" i="2"/>
  <c r="Y128" i="2"/>
  <c r="X128" i="2"/>
  <c r="W128" i="2"/>
  <c r="V128" i="2"/>
  <c r="AQ127" i="2"/>
  <c r="AP127" i="2"/>
  <c r="AO127" i="2"/>
  <c r="AN127" i="2"/>
  <c r="Y127" i="2"/>
  <c r="X127" i="2"/>
  <c r="W127" i="2"/>
  <c r="V127" i="2"/>
  <c r="L137" i="1"/>
  <c r="K137" i="1"/>
  <c r="J137" i="1"/>
  <c r="I137" i="1"/>
  <c r="AQ153" i="2"/>
  <c r="AP153" i="2"/>
  <c r="AO153" i="2"/>
  <c r="AN153" i="2"/>
  <c r="Y153" i="2"/>
  <c r="X153" i="2"/>
  <c r="W153" i="2"/>
  <c r="V153" i="2"/>
  <c r="AQ152" i="2"/>
  <c r="AP152" i="2"/>
  <c r="AO152" i="2"/>
  <c r="AN152" i="2"/>
  <c r="Y152" i="2"/>
  <c r="X152" i="2"/>
  <c r="W152" i="2"/>
  <c r="V152" i="2"/>
  <c r="AQ151" i="2"/>
  <c r="AP151" i="2"/>
  <c r="AO151" i="2"/>
  <c r="AN151" i="2"/>
  <c r="Y151" i="2"/>
  <c r="X151" i="2"/>
  <c r="W151" i="2"/>
  <c r="V151" i="2"/>
  <c r="AQ150" i="2"/>
  <c r="AP150" i="2"/>
  <c r="AO150" i="2"/>
  <c r="AN150" i="2"/>
  <c r="Y150" i="2"/>
  <c r="X150" i="2"/>
  <c r="W150" i="2"/>
  <c r="V150" i="2"/>
  <c r="AQ149" i="2"/>
  <c r="AP149" i="2"/>
  <c r="AO149" i="2"/>
  <c r="AN149" i="2"/>
  <c r="Y149" i="2"/>
  <c r="X149" i="2"/>
  <c r="W149" i="2"/>
  <c r="V149" i="2"/>
  <c r="AQ148" i="2"/>
  <c r="AP148" i="2"/>
  <c r="AO148" i="2"/>
  <c r="AN148" i="2"/>
  <c r="Y148" i="2"/>
  <c r="X148" i="2"/>
  <c r="W148" i="2"/>
  <c r="V148" i="2"/>
  <c r="AQ147" i="2"/>
  <c r="AP147" i="2"/>
  <c r="AO147" i="2"/>
  <c r="AN147" i="2"/>
  <c r="Y147" i="2"/>
  <c r="X147" i="2"/>
  <c r="W147" i="2"/>
  <c r="V147" i="2"/>
  <c r="AQ146" i="2"/>
  <c r="AP146" i="2"/>
  <c r="AO146" i="2"/>
  <c r="AN146" i="2"/>
  <c r="Y146" i="2"/>
  <c r="X146" i="2"/>
  <c r="W146" i="2"/>
  <c r="V146" i="2"/>
  <c r="AQ145" i="2"/>
  <c r="AP145" i="2"/>
  <c r="AO145" i="2"/>
  <c r="AN145" i="2"/>
  <c r="Y145" i="2"/>
  <c r="X145" i="2"/>
  <c r="W145" i="2"/>
  <c r="V145" i="2"/>
  <c r="AQ144" i="2"/>
  <c r="AP144" i="2"/>
  <c r="AO144" i="2"/>
  <c r="AN144" i="2"/>
  <c r="Y144" i="2"/>
  <c r="X144" i="2"/>
  <c r="W144" i="2"/>
  <c r="V144" i="2"/>
  <c r="AQ143" i="2"/>
  <c r="AP143" i="2"/>
  <c r="AO143" i="2"/>
  <c r="AN143" i="2"/>
  <c r="Y143" i="2"/>
  <c r="X143" i="2"/>
  <c r="W143" i="2"/>
  <c r="V143" i="2"/>
  <c r="U156" i="1" l="1"/>
  <c r="Z156" i="1" s="1"/>
  <c r="U155" i="1"/>
  <c r="Z155" i="1" s="1"/>
  <c r="U54" i="1"/>
  <c r="Z54" i="1" s="1"/>
  <c r="U161" i="1"/>
  <c r="Z161" i="1" s="1"/>
  <c r="U160" i="1"/>
  <c r="Z160" i="1" s="1"/>
  <c r="U7" i="3"/>
  <c r="X7" i="3" s="1"/>
  <c r="Y7" i="3" s="1"/>
  <c r="U11" i="3"/>
  <c r="X11" i="3" s="1"/>
  <c r="Y11" i="3" s="1"/>
  <c r="U15" i="3"/>
  <c r="X15" i="3" s="1"/>
  <c r="Y15" i="3" s="1"/>
  <c r="U56" i="1"/>
  <c r="Z56" i="1" s="1"/>
  <c r="AB137" i="2"/>
  <c r="AA161" i="2"/>
  <c r="AI64" i="2"/>
  <c r="AE70" i="2"/>
  <c r="AJ65" i="2"/>
  <c r="U57" i="1"/>
  <c r="Z57" i="1" s="1"/>
  <c r="U67" i="1"/>
  <c r="Z67" i="1" s="1"/>
  <c r="U63" i="1"/>
  <c r="Z63" i="1" s="1"/>
  <c r="U62" i="1"/>
  <c r="Z62" i="1" s="1"/>
  <c r="U55" i="1"/>
  <c r="Z55" i="1" s="1"/>
  <c r="AC156" i="2"/>
  <c r="AJ162" i="2"/>
  <c r="AF133" i="2"/>
  <c r="AC127" i="2"/>
  <c r="AC69" i="2"/>
  <c r="AC63" i="2"/>
  <c r="AI129" i="2"/>
  <c r="AE128" i="2"/>
  <c r="AF157" i="2"/>
  <c r="AK163" i="2"/>
  <c r="AK159" i="2"/>
  <c r="AI165" i="2"/>
  <c r="AI56" i="2"/>
  <c r="AJ66" i="2"/>
  <c r="AB128" i="2"/>
  <c r="AN131" i="2"/>
  <c r="AJ134" i="2"/>
  <c r="AK164" i="2"/>
  <c r="AF128" i="2"/>
  <c r="AJ62" i="2"/>
  <c r="AG128" i="2"/>
  <c r="AJ61" i="2"/>
  <c r="AG137" i="2"/>
  <c r="AG158" i="2"/>
  <c r="AB133" i="2"/>
  <c r="AJ58" i="2"/>
  <c r="AB160" i="2"/>
  <c r="AK57" i="2"/>
  <c r="AI60" i="2"/>
  <c r="AE63" i="2"/>
  <c r="AG129" i="2"/>
  <c r="AC133" i="2"/>
  <c r="AB63" i="2"/>
  <c r="AC132" i="2"/>
  <c r="AK136" i="2"/>
  <c r="AF158" i="2"/>
  <c r="AF161" i="2"/>
  <c r="AG162" i="2"/>
  <c r="AC165" i="2"/>
  <c r="AA66" i="2"/>
  <c r="AI128" i="2"/>
  <c r="AK160" i="2"/>
  <c r="AC164" i="2"/>
  <c r="AC56" i="2"/>
  <c r="AC70" i="2"/>
  <c r="AJ135" i="2"/>
  <c r="AK156" i="2"/>
  <c r="AC160" i="2"/>
  <c r="AI161" i="2"/>
  <c r="AB164" i="2"/>
  <c r="AB57" i="2"/>
  <c r="AC60" i="2"/>
  <c r="AC64" i="2"/>
  <c r="AI157" i="2"/>
  <c r="AJ164" i="2"/>
  <c r="AE57" i="2"/>
  <c r="AJ131" i="2"/>
  <c r="AC134" i="2"/>
  <c r="AB156" i="2"/>
  <c r="AJ160" i="2"/>
  <c r="AB163" i="2"/>
  <c r="AE164" i="2"/>
  <c r="AA56" i="2"/>
  <c r="AG70" i="2"/>
  <c r="AJ156" i="2"/>
  <c r="AE160" i="2"/>
  <c r="AB56" i="2"/>
  <c r="AE59" i="2"/>
  <c r="AA60" i="2"/>
  <c r="AA64" i="2"/>
  <c r="AA157" i="2"/>
  <c r="AI58" i="2"/>
  <c r="AE156" i="2"/>
  <c r="AG56" i="2"/>
  <c r="AB60" i="2"/>
  <c r="AB64" i="2"/>
  <c r="AF134" i="2"/>
  <c r="AE162" i="2"/>
  <c r="AA163" i="2"/>
  <c r="AG60" i="2"/>
  <c r="AG64" i="2"/>
  <c r="AK69" i="2"/>
  <c r="AA128" i="2"/>
  <c r="AG134" i="2"/>
  <c r="AE158" i="2"/>
  <c r="AA159" i="2"/>
  <c r="AK58" i="2"/>
  <c r="AK62" i="2"/>
  <c r="AK66" i="2"/>
  <c r="AA69" i="2"/>
  <c r="AJ158" i="2"/>
  <c r="AF165" i="2"/>
  <c r="AA58" i="2"/>
  <c r="AA62" i="2"/>
  <c r="AG69" i="2"/>
  <c r="U162" i="1"/>
  <c r="Z162" i="1" s="1"/>
  <c r="U58" i="1"/>
  <c r="Z58" i="1" s="1"/>
  <c r="U61" i="1"/>
  <c r="Z61" i="1" s="1"/>
  <c r="U53" i="1"/>
  <c r="Z53" i="1" s="1"/>
  <c r="U59" i="1"/>
  <c r="Z59" i="1" s="1"/>
  <c r="U60" i="1"/>
  <c r="Z60" i="1" s="1"/>
  <c r="AB69" i="2"/>
  <c r="AF70" i="2"/>
  <c r="AE69" i="2"/>
  <c r="AI70" i="2"/>
  <c r="AF69" i="2"/>
  <c r="AJ70" i="2"/>
  <c r="AK70" i="2"/>
  <c r="AI69" i="2"/>
  <c r="AJ69" i="2"/>
  <c r="AN69" i="2"/>
  <c r="AA70" i="2"/>
  <c r="AB70" i="2"/>
  <c r="AJ56" i="2"/>
  <c r="AB58" i="2"/>
  <c r="AF59" i="2"/>
  <c r="AJ60" i="2"/>
  <c r="AB62" i="2"/>
  <c r="AF63" i="2"/>
  <c r="AJ64" i="2"/>
  <c r="AB66" i="2"/>
  <c r="AK56" i="2"/>
  <c r="AC58" i="2"/>
  <c r="AG59" i="2"/>
  <c r="AK60" i="2"/>
  <c r="AC62" i="2"/>
  <c r="AG63" i="2"/>
  <c r="AK64" i="2"/>
  <c r="AC66" i="2"/>
  <c r="AA57" i="2"/>
  <c r="AE58" i="2"/>
  <c r="AI59" i="2"/>
  <c r="AA61" i="2"/>
  <c r="AE62" i="2"/>
  <c r="AI63" i="2"/>
  <c r="AA65" i="2"/>
  <c r="AE66" i="2"/>
  <c r="AK65" i="2"/>
  <c r="AF58" i="2"/>
  <c r="AJ59" i="2"/>
  <c r="AB61" i="2"/>
  <c r="AF62" i="2"/>
  <c r="AJ63" i="2"/>
  <c r="AB65" i="2"/>
  <c r="AF66" i="2"/>
  <c r="AC59" i="2"/>
  <c r="AK61" i="2"/>
  <c r="AC57" i="2"/>
  <c r="AG58" i="2"/>
  <c r="AK59" i="2"/>
  <c r="AC61" i="2"/>
  <c r="AG62" i="2"/>
  <c r="AK63" i="2"/>
  <c r="AC65" i="2"/>
  <c r="AG66" i="2"/>
  <c r="AE61" i="2"/>
  <c r="AI62" i="2"/>
  <c r="AE65" i="2"/>
  <c r="AI66" i="2"/>
  <c r="AF61" i="2"/>
  <c r="AF65" i="2"/>
  <c r="AG57" i="2"/>
  <c r="AG61" i="2"/>
  <c r="AG65" i="2"/>
  <c r="AE56" i="2"/>
  <c r="AI57" i="2"/>
  <c r="AA59" i="2"/>
  <c r="AE60" i="2"/>
  <c r="AI61" i="2"/>
  <c r="AA63" i="2"/>
  <c r="AE64" i="2"/>
  <c r="AI65" i="2"/>
  <c r="AF57" i="2"/>
  <c r="AF56" i="2"/>
  <c r="AJ57" i="2"/>
  <c r="AB59" i="2"/>
  <c r="AF60" i="2"/>
  <c r="AF64" i="2"/>
  <c r="K16" i="4"/>
  <c r="U19" i="3"/>
  <c r="X19" i="3" s="1"/>
  <c r="U21" i="3"/>
  <c r="X21" i="3" s="1"/>
  <c r="Y21" i="3" s="1"/>
  <c r="U23" i="3"/>
  <c r="X23" i="3" s="1"/>
  <c r="Y23" i="3" s="1"/>
  <c r="U25" i="3"/>
  <c r="X25" i="3" s="1"/>
  <c r="Y25" i="3" s="1"/>
  <c r="U6" i="3"/>
  <c r="X6" i="3" s="1"/>
  <c r="Y6" i="3" s="1"/>
  <c r="U8" i="3"/>
  <c r="X8" i="3" s="1"/>
  <c r="Y8" i="3" s="1"/>
  <c r="U12" i="3"/>
  <c r="X12" i="3" s="1"/>
  <c r="Y12" i="3" s="1"/>
  <c r="U10" i="3"/>
  <c r="X10" i="3" s="1"/>
  <c r="Y10" i="3" s="1"/>
  <c r="U14" i="3"/>
  <c r="X14" i="3" s="1"/>
  <c r="Y14" i="3" s="1"/>
  <c r="U22" i="3"/>
  <c r="X22" i="3" s="1"/>
  <c r="Y22" i="3" s="1"/>
  <c r="U26" i="3"/>
  <c r="X26" i="3" s="1"/>
  <c r="Y26" i="3" s="1"/>
  <c r="U20" i="3"/>
  <c r="X20" i="3" s="1"/>
  <c r="Y20" i="3" s="1"/>
  <c r="U24" i="3"/>
  <c r="X24" i="3" s="1"/>
  <c r="Y24" i="3" s="1"/>
  <c r="U9" i="3"/>
  <c r="X9" i="3" s="1"/>
  <c r="Y9" i="3" s="1"/>
  <c r="U13" i="3"/>
  <c r="X13" i="3" s="1"/>
  <c r="Y13" i="3" s="1"/>
  <c r="U154" i="1"/>
  <c r="Z154" i="1" s="1"/>
  <c r="U159" i="1"/>
  <c r="Z159" i="1" s="1"/>
  <c r="U157" i="1"/>
  <c r="Z157" i="1" s="1"/>
  <c r="U153" i="1"/>
  <c r="Z153" i="1" s="1"/>
  <c r="U158" i="1"/>
  <c r="Z158" i="1" s="1"/>
  <c r="AG157" i="2"/>
  <c r="AK158" i="2"/>
  <c r="AG161" i="2"/>
  <c r="AK162" i="2"/>
  <c r="AG165" i="2"/>
  <c r="AF156" i="2"/>
  <c r="AJ157" i="2"/>
  <c r="AB159" i="2"/>
  <c r="AF160" i="2"/>
  <c r="AJ161" i="2"/>
  <c r="AF164" i="2"/>
  <c r="AJ165" i="2"/>
  <c r="AG156" i="2"/>
  <c r="AK157" i="2"/>
  <c r="AC159" i="2"/>
  <c r="AG160" i="2"/>
  <c r="AK161" i="2"/>
  <c r="AC163" i="2"/>
  <c r="AG164" i="2"/>
  <c r="AK165" i="2"/>
  <c r="AI156" i="2"/>
  <c r="AA158" i="2"/>
  <c r="AE159" i="2"/>
  <c r="AI160" i="2"/>
  <c r="AA162" i="2"/>
  <c r="AE163" i="2"/>
  <c r="AU163" i="2" s="1"/>
  <c r="AI164" i="2"/>
  <c r="AB158" i="2"/>
  <c r="AF159" i="2"/>
  <c r="AB162" i="2"/>
  <c r="AF163" i="2"/>
  <c r="AC158" i="2"/>
  <c r="AG159" i="2"/>
  <c r="AC162" i="2"/>
  <c r="AG163" i="2"/>
  <c r="AI159" i="2"/>
  <c r="AI163" i="2"/>
  <c r="AA165" i="2"/>
  <c r="AB157" i="2"/>
  <c r="AJ159" i="2"/>
  <c r="AB161" i="2"/>
  <c r="AF162" i="2"/>
  <c r="AJ163" i="2"/>
  <c r="AB165" i="2"/>
  <c r="AC157" i="2"/>
  <c r="AC161" i="2"/>
  <c r="AA156" i="2"/>
  <c r="AE157" i="2"/>
  <c r="AI158" i="2"/>
  <c r="AA160" i="2"/>
  <c r="AE161" i="2"/>
  <c r="AI162" i="2"/>
  <c r="AA164" i="2"/>
  <c r="AE165" i="2"/>
  <c r="AK127" i="2"/>
  <c r="AF129" i="2"/>
  <c r="AA133" i="2"/>
  <c r="AC135" i="2"/>
  <c r="AB127" i="2"/>
  <c r="AC129" i="2"/>
  <c r="AE127" i="2"/>
  <c r="AC128" i="2"/>
  <c r="AG133" i="2"/>
  <c r="AK132" i="2"/>
  <c r="AK137" i="2"/>
  <c r="AA132" i="2"/>
  <c r="AA137" i="2"/>
  <c r="AK128" i="2"/>
  <c r="AP131" i="2"/>
  <c r="AA136" i="2"/>
  <c r="AC137" i="2"/>
  <c r="AQ131" i="2"/>
  <c r="AC136" i="2"/>
  <c r="AF137" i="2"/>
  <c r="AB145" i="2"/>
  <c r="AB153" i="2"/>
  <c r="AJ130" i="2"/>
  <c r="AI131" i="2"/>
  <c r="AE134" i="2"/>
  <c r="AI135" i="2"/>
  <c r="AC130" i="2"/>
  <c r="AC131" i="2"/>
  <c r="AK133" i="2"/>
  <c r="AB134" i="2"/>
  <c r="AB135" i="2"/>
  <c r="AJ129" i="2"/>
  <c r="AE133" i="2"/>
  <c r="AI134" i="2"/>
  <c r="AE137" i="2"/>
  <c r="AK135" i="2"/>
  <c r="AO131" i="2"/>
  <c r="AB132" i="2"/>
  <c r="AB136" i="2"/>
  <c r="AK131" i="2"/>
  <c r="AA130" i="2"/>
  <c r="AK134" i="2"/>
  <c r="AF127" i="2"/>
  <c r="AJ128" i="2"/>
  <c r="AB130" i="2"/>
  <c r="AA131" i="2"/>
  <c r="AE132" i="2"/>
  <c r="AI133" i="2"/>
  <c r="AA135" i="2"/>
  <c r="AE136" i="2"/>
  <c r="AI137" i="2"/>
  <c r="AK130" i="2"/>
  <c r="AA127" i="2"/>
  <c r="AG127" i="2"/>
  <c r="AB131" i="2"/>
  <c r="AF132" i="2"/>
  <c r="AJ133" i="2"/>
  <c r="AF136" i="2"/>
  <c r="AJ137" i="2"/>
  <c r="AI127" i="2"/>
  <c r="AA129" i="2"/>
  <c r="AE130" i="2"/>
  <c r="AG132" i="2"/>
  <c r="AG136" i="2"/>
  <c r="AJ127" i="2"/>
  <c r="AB129" i="2"/>
  <c r="AF130" i="2"/>
  <c r="AE131" i="2"/>
  <c r="AI132" i="2"/>
  <c r="AA134" i="2"/>
  <c r="AE135" i="2"/>
  <c r="AI136" i="2"/>
  <c r="AK129" i="2"/>
  <c r="AG130" i="2"/>
  <c r="AF131" i="2"/>
  <c r="AJ132" i="2"/>
  <c r="AF135" i="2"/>
  <c r="AJ136" i="2"/>
  <c r="AE129" i="2"/>
  <c r="AI130" i="2"/>
  <c r="AG131" i="2"/>
  <c r="AG135" i="2"/>
  <c r="AJ151" i="2"/>
  <c r="AE151" i="2"/>
  <c r="AI147" i="2"/>
  <c r="AB150" i="2"/>
  <c r="AJ143" i="2"/>
  <c r="AK152" i="2"/>
  <c r="AC144" i="2"/>
  <c r="AJ147" i="2"/>
  <c r="AE150" i="2"/>
  <c r="AG143" i="2"/>
  <c r="AA150" i="2"/>
  <c r="AC146" i="2"/>
  <c r="AA153" i="2"/>
  <c r="AE143" i="2"/>
  <c r="AG149" i="2"/>
  <c r="AG153" i="2"/>
  <c r="AK145" i="2"/>
  <c r="AK144" i="2"/>
  <c r="AJ146" i="2"/>
  <c r="AA149" i="2"/>
  <c r="AI144" i="2"/>
  <c r="AF150" i="2"/>
  <c r="AK153" i="2"/>
  <c r="AI143" i="2"/>
  <c r="AK148" i="2"/>
  <c r="AB149" i="2"/>
  <c r="AJ150" i="2"/>
  <c r="AC148" i="2"/>
  <c r="AE146" i="2"/>
  <c r="AJ148" i="2"/>
  <c r="AG147" i="2"/>
  <c r="AC152" i="2"/>
  <c r="AJ152" i="2"/>
  <c r="AA145" i="2"/>
  <c r="AA146" i="2"/>
  <c r="AE147" i="2"/>
  <c r="AC150" i="2"/>
  <c r="AI151" i="2"/>
  <c r="AG145" i="2"/>
  <c r="AB146" i="2"/>
  <c r="AG151" i="2"/>
  <c r="AF146" i="2"/>
  <c r="AK149" i="2"/>
  <c r="AK143" i="2"/>
  <c r="AC145" i="2"/>
  <c r="AG146" i="2"/>
  <c r="AK147" i="2"/>
  <c r="AC149" i="2"/>
  <c r="AG150" i="2"/>
  <c r="AK151" i="2"/>
  <c r="AC153" i="2"/>
  <c r="AA144" i="2"/>
  <c r="AE145" i="2"/>
  <c r="AI146" i="2"/>
  <c r="AA148" i="2"/>
  <c r="AE149" i="2"/>
  <c r="AU149" i="2" s="1"/>
  <c r="AI150" i="2"/>
  <c r="AA152" i="2"/>
  <c r="AE153" i="2"/>
  <c r="AB144" i="2"/>
  <c r="AF145" i="2"/>
  <c r="AB148" i="2"/>
  <c r="AF149" i="2"/>
  <c r="AB152" i="2"/>
  <c r="AF153" i="2"/>
  <c r="AK146" i="2"/>
  <c r="AK150" i="2"/>
  <c r="AA143" i="2"/>
  <c r="AE144" i="2"/>
  <c r="AI145" i="2"/>
  <c r="AA147" i="2"/>
  <c r="AE148" i="2"/>
  <c r="AI149" i="2"/>
  <c r="AA151" i="2"/>
  <c r="AE152" i="2"/>
  <c r="AI153" i="2"/>
  <c r="AB143" i="2"/>
  <c r="AF144" i="2"/>
  <c r="AJ145" i="2"/>
  <c r="AB147" i="2"/>
  <c r="AF148" i="2"/>
  <c r="AJ149" i="2"/>
  <c r="AB151" i="2"/>
  <c r="AF152" i="2"/>
  <c r="AJ153" i="2"/>
  <c r="AC143" i="2"/>
  <c r="AG144" i="2"/>
  <c r="AC147" i="2"/>
  <c r="AG148" i="2"/>
  <c r="AC151" i="2"/>
  <c r="AG152" i="2"/>
  <c r="AI152" i="2"/>
  <c r="AI148" i="2"/>
  <c r="AF143" i="2"/>
  <c r="AJ144" i="2"/>
  <c r="AF147" i="2"/>
  <c r="AF151" i="2"/>
  <c r="AU161" i="2" l="1"/>
  <c r="X29" i="3"/>
  <c r="Y29" i="3" s="1"/>
  <c r="AU162" i="2"/>
  <c r="AU63" i="2"/>
  <c r="AU128" i="2"/>
  <c r="AU64" i="2"/>
  <c r="AU60" i="2"/>
  <c r="AU70" i="2"/>
  <c r="AU133" i="2"/>
  <c r="AU158" i="2"/>
  <c r="AT64" i="2"/>
  <c r="AV64" i="2" s="1"/>
  <c r="J64" i="2" s="1"/>
  <c r="AU127" i="2"/>
  <c r="AU151" i="2"/>
  <c r="AT56" i="2"/>
  <c r="AU137" i="2"/>
  <c r="AU159" i="2"/>
  <c r="AT160" i="2"/>
  <c r="AU66" i="2"/>
  <c r="AT133" i="2"/>
  <c r="AU160" i="2"/>
  <c r="AU58" i="2"/>
  <c r="AU146" i="2"/>
  <c r="AU134" i="2"/>
  <c r="AT134" i="2"/>
  <c r="AU57" i="2"/>
  <c r="AT59" i="2"/>
  <c r="AU156" i="2"/>
  <c r="AT60" i="2"/>
  <c r="AU56" i="2"/>
  <c r="AU143" i="2"/>
  <c r="AT129" i="2"/>
  <c r="AU136" i="2"/>
  <c r="AU132" i="2"/>
  <c r="AT137" i="2"/>
  <c r="AU164" i="2"/>
  <c r="AT57" i="2"/>
  <c r="AU131" i="2"/>
  <c r="AT157" i="2"/>
  <c r="AU65" i="2"/>
  <c r="AT128" i="2"/>
  <c r="AU62" i="2"/>
  <c r="AU130" i="2"/>
  <c r="AU152" i="2"/>
  <c r="AU59" i="2"/>
  <c r="AT149" i="2"/>
  <c r="AV149" i="2" s="1"/>
  <c r="J149" i="2" s="1"/>
  <c r="AT63" i="2"/>
  <c r="AU165" i="2"/>
  <c r="AT135" i="2"/>
  <c r="AU157" i="2"/>
  <c r="AU129" i="2"/>
  <c r="AU135" i="2"/>
  <c r="AU61" i="2"/>
  <c r="AT165" i="2"/>
  <c r="AT163" i="2"/>
  <c r="AV163" i="2" s="1"/>
  <c r="J163" i="2" s="1"/>
  <c r="AT164" i="2"/>
  <c r="AT62" i="2"/>
  <c r="AT161" i="2"/>
  <c r="AT156" i="2"/>
  <c r="AT153" i="2"/>
  <c r="Z163" i="1"/>
  <c r="Z64" i="1"/>
  <c r="AT69" i="2"/>
  <c r="AT70" i="2"/>
  <c r="AU69" i="2"/>
  <c r="AT65" i="2"/>
  <c r="AT66" i="2"/>
  <c r="AT61" i="2"/>
  <c r="AT58" i="2"/>
  <c r="Y19" i="3"/>
  <c r="X17" i="3"/>
  <c r="Y17" i="3" s="1"/>
  <c r="AT162" i="2"/>
  <c r="AV162" i="2" s="1"/>
  <c r="J162" i="2" s="1"/>
  <c r="AT159" i="2"/>
  <c r="AV159" i="2" s="1"/>
  <c r="J159" i="2" s="1"/>
  <c r="AT158" i="2"/>
  <c r="AT127" i="2"/>
  <c r="AT136" i="2"/>
  <c r="AT132" i="2"/>
  <c r="AT131" i="2"/>
  <c r="AT130" i="2"/>
  <c r="AU148" i="2"/>
  <c r="AU145" i="2"/>
  <c r="AU150" i="2"/>
  <c r="AU144" i="2"/>
  <c r="AU153" i="2"/>
  <c r="AT143" i="2"/>
  <c r="AT146" i="2"/>
  <c r="AU147" i="2"/>
  <c r="AT145" i="2"/>
  <c r="AT152" i="2"/>
  <c r="AT150" i="2"/>
  <c r="AT151" i="2"/>
  <c r="AV151" i="2" s="1"/>
  <c r="J151" i="2" s="1"/>
  <c r="AT148" i="2"/>
  <c r="AT147" i="2"/>
  <c r="AT144" i="2"/>
  <c r="AV60" i="2" l="1"/>
  <c r="J60" i="2" s="1"/>
  <c r="AV129" i="2"/>
  <c r="J129" i="2" s="1"/>
  <c r="AV158" i="2"/>
  <c r="J158" i="2" s="1"/>
  <c r="AV128" i="2"/>
  <c r="J128" i="2" s="1"/>
  <c r="AV160" i="2"/>
  <c r="J160" i="2" s="1"/>
  <c r="AV161" i="2"/>
  <c r="J161" i="2" s="1"/>
  <c r="AV63" i="2"/>
  <c r="J63" i="2" s="1"/>
  <c r="AV66" i="2"/>
  <c r="J66" i="2" s="1"/>
  <c r="AV127" i="2"/>
  <c r="J127" i="2" s="1"/>
  <c r="AV70" i="2"/>
  <c r="J70" i="2" s="1"/>
  <c r="AV146" i="2"/>
  <c r="J146" i="2" s="1"/>
  <c r="AV137" i="2"/>
  <c r="J137" i="2" s="1"/>
  <c r="AV133" i="2"/>
  <c r="J133" i="2" s="1"/>
  <c r="AV164" i="2"/>
  <c r="J164" i="2" s="1"/>
  <c r="AV59" i="2"/>
  <c r="J59" i="2" s="1"/>
  <c r="AV56" i="2"/>
  <c r="J56" i="2" s="1"/>
  <c r="AV156" i="2"/>
  <c r="J156" i="2" s="1"/>
  <c r="AV134" i="2"/>
  <c r="J134" i="2" s="1"/>
  <c r="AV132" i="2"/>
  <c r="J132" i="2" s="1"/>
  <c r="AV58" i="2"/>
  <c r="J58" i="2" s="1"/>
  <c r="AV152" i="2"/>
  <c r="J152" i="2" s="1"/>
  <c r="AV157" i="2"/>
  <c r="J157" i="2" s="1"/>
  <c r="AV57" i="2"/>
  <c r="J57" i="2" s="1"/>
  <c r="AV143" i="2"/>
  <c r="J143" i="2" s="1"/>
  <c r="AV65" i="2"/>
  <c r="J65" i="2" s="1"/>
  <c r="AV153" i="2"/>
  <c r="J153" i="2" s="1"/>
  <c r="AV62" i="2"/>
  <c r="J62" i="2" s="1"/>
  <c r="AV136" i="2"/>
  <c r="J136" i="2" s="1"/>
  <c r="AV131" i="2"/>
  <c r="J131" i="2" s="1"/>
  <c r="AV135" i="2"/>
  <c r="J135" i="2" s="1"/>
  <c r="AV130" i="2"/>
  <c r="J130" i="2" s="1"/>
  <c r="AV165" i="2"/>
  <c r="J165" i="2" s="1"/>
  <c r="AV61" i="2"/>
  <c r="J61" i="2" s="1"/>
  <c r="AV69" i="2"/>
  <c r="J69" i="2" s="1"/>
  <c r="AV148" i="2"/>
  <c r="J148" i="2" s="1"/>
  <c r="AV145" i="2"/>
  <c r="J145" i="2" s="1"/>
  <c r="AV144" i="2"/>
  <c r="J144" i="2" s="1"/>
  <c r="AV150" i="2"/>
  <c r="J150" i="2" s="1"/>
  <c r="AV147" i="2"/>
  <c r="J147" i="2" s="1"/>
  <c r="J166" i="2" l="1"/>
  <c r="J67" i="2"/>
  <c r="J138" i="2"/>
  <c r="J154" i="2"/>
</calcChain>
</file>

<file path=xl/sharedStrings.xml><?xml version="1.0" encoding="utf-8"?>
<sst xmlns="http://schemas.openxmlformats.org/spreadsheetml/2006/main" count="1325" uniqueCount="392">
  <si>
    <t>GRT</t>
  </si>
  <si>
    <t>PLAGIO</t>
  </si>
  <si>
    <t>paragonite?</t>
  </si>
  <si>
    <t>Mg</t>
  </si>
  <si>
    <t>Mn</t>
  </si>
  <si>
    <t>Ca</t>
  </si>
  <si>
    <t>Fe</t>
  </si>
  <si>
    <t>XMg(grt)</t>
  </si>
  <si>
    <t>XFe(grt)</t>
  </si>
  <si>
    <t>Xgro</t>
  </si>
  <si>
    <t>Xspe</t>
  </si>
  <si>
    <t>Na</t>
  </si>
  <si>
    <t>K</t>
  </si>
  <si>
    <t>XCa</t>
  </si>
  <si>
    <t>Kn</t>
  </si>
  <si>
    <t>z</t>
  </si>
  <si>
    <t>T (K)</t>
  </si>
  <si>
    <t>P (GPa)</t>
  </si>
  <si>
    <t>position</t>
  </si>
  <si>
    <t>notes</t>
  </si>
  <si>
    <t>Garnet-Plagioclase geobarometer (Caddick &amp; Thompson, 2008)</t>
  </si>
  <si>
    <t>Input</t>
  </si>
  <si>
    <t>Computed</t>
  </si>
  <si>
    <t>BT</t>
  </si>
  <si>
    <t>P (bars)</t>
  </si>
  <si>
    <t>Tgb(°C)</t>
  </si>
  <si>
    <t>Mg bio</t>
  </si>
  <si>
    <t>Ti bio</t>
  </si>
  <si>
    <t>Mg grt</t>
  </si>
  <si>
    <t>Ca grt</t>
  </si>
  <si>
    <t>Mn grt</t>
  </si>
  <si>
    <t>Xalm</t>
  </si>
  <si>
    <t>Xpyr</t>
  </si>
  <si>
    <t>Xgros</t>
  </si>
  <si>
    <t>Xsps</t>
  </si>
  <si>
    <t>Fea</t>
  </si>
  <si>
    <t>Feb</t>
  </si>
  <si>
    <t>Fec</t>
  </si>
  <si>
    <t>Mga</t>
  </si>
  <si>
    <t>Mgb</t>
  </si>
  <si>
    <t>Mgc</t>
  </si>
  <si>
    <t>Caa</t>
  </si>
  <si>
    <t>Cab</t>
  </si>
  <si>
    <t>Cac</t>
  </si>
  <si>
    <t>X(Fe) bio</t>
  </si>
  <si>
    <t>X(Mg) bio</t>
  </si>
  <si>
    <t>X(Al) bio</t>
  </si>
  <si>
    <t>X(Ti) bio</t>
  </si>
  <si>
    <t>Tgb numerator</t>
  </si>
  <si>
    <t>Tgb denominator</t>
  </si>
  <si>
    <t>Garnet-Biotite geothermometer (Holdaway, 2000)</t>
  </si>
  <si>
    <t>Fe2 bio</t>
  </si>
  <si>
    <t>Al bio</t>
  </si>
  <si>
    <t>Fe2 grt</t>
  </si>
  <si>
    <t>Line 45 Al4n</t>
  </si>
  <si>
    <t>Line 46 Al4n</t>
  </si>
  <si>
    <t>Line 47 Al4n</t>
  </si>
  <si>
    <t>Line 48 Al4n</t>
  </si>
  <si>
    <t>average</t>
  </si>
  <si>
    <t>average:</t>
  </si>
  <si>
    <t>outer rim</t>
  </si>
  <si>
    <t>A2</t>
  </si>
  <si>
    <t>A4</t>
  </si>
  <si>
    <t>AS21.1A_BL2</t>
  </si>
  <si>
    <t>B11</t>
  </si>
  <si>
    <t>Line 27 BL2n</t>
  </si>
  <si>
    <t>Line 29 BL2n</t>
  </si>
  <si>
    <t>Line 30 BL2n</t>
  </si>
  <si>
    <t>AS21.1A_AL4</t>
  </si>
  <si>
    <t>Sample_Profile</t>
  </si>
  <si>
    <t>inner grt</t>
  </si>
  <si>
    <t>B1</t>
  </si>
  <si>
    <t>B16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</si>
  <si>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</si>
  <si>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</si>
  <si>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</si>
  <si>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</si>
  <si>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</si>
  <si>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</si>
  <si>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</si>
  <si>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</si>
  <si>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</si>
  <si>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inner rim</t>
  </si>
  <si>
    <t>T (°C)</t>
  </si>
  <si>
    <t>"inner rim"</t>
  </si>
  <si>
    <t>Garnet-Phengite geothermometer (Caddick &amp; Thompson, 2008)</t>
  </si>
  <si>
    <t>PHEN</t>
  </si>
  <si>
    <t>XMg</t>
  </si>
  <si>
    <t>XFe</t>
  </si>
  <si>
    <t>Kd</t>
  </si>
  <si>
    <t>AC19.3_CL1</t>
  </si>
  <si>
    <t>Line 37 CL1n</t>
  </si>
  <si>
    <t>Line 40 CL1n</t>
  </si>
  <si>
    <t>Line 36 CL1n</t>
  </si>
  <si>
    <t>Line 41 CL1n</t>
  </si>
  <si>
    <t>Line 35 CL1n</t>
  </si>
  <si>
    <t>Line 42 CL1n</t>
  </si>
  <si>
    <t>Line 34 CL1n</t>
  </si>
  <si>
    <t>Line 43 CL1n</t>
  </si>
  <si>
    <t>Line 33 CL1n</t>
  </si>
  <si>
    <t>Line 32 CL1n</t>
  </si>
  <si>
    <t>Line 31 CL1n</t>
  </si>
  <si>
    <t>Line 30 CL1n</t>
  </si>
  <si>
    <t>Line 29 CL1n</t>
  </si>
  <si>
    <t>Line 28 CL1n</t>
  </si>
  <si>
    <t>Line 27 CL1n</t>
  </si>
  <si>
    <t>Line 1 CL1n</t>
  </si>
  <si>
    <t>Line 2 CL1n</t>
  </si>
  <si>
    <t>Line 3 CL1n</t>
  </si>
  <si>
    <t>Line 4 CL1n</t>
  </si>
  <si>
    <t>Line 5 CL1n</t>
  </si>
  <si>
    <t>Line 6 CL1n</t>
  </si>
  <si>
    <t>Line 7 CL1n</t>
  </si>
  <si>
    <t>Line 8 CL1n</t>
  </si>
  <si>
    <t>Line 9 CL1n</t>
  </si>
  <si>
    <t>Line 10 CL1n</t>
  </si>
  <si>
    <t>Phengite geobarometer (Caddick &amp; Thompson, 2008)</t>
  </si>
  <si>
    <t xml:space="preserve">Line 40 CL1n </t>
  </si>
  <si>
    <t xml:space="preserve">Line 41 CL1n </t>
  </si>
  <si>
    <t xml:space="preserve">Line 42 CL1n </t>
  </si>
  <si>
    <t xml:space="preserve">Line 43 CL1n </t>
  </si>
  <si>
    <t>C1</t>
  </si>
  <si>
    <t xml:space="preserve">C5 </t>
  </si>
  <si>
    <t xml:space="preserve">C6 </t>
  </si>
  <si>
    <t>C14</t>
  </si>
  <si>
    <t>AC19.3A_CL1</t>
  </si>
  <si>
    <t>AG20.2B_D10</t>
  </si>
  <si>
    <t>Line19D10_line</t>
  </si>
  <si>
    <t>Line22D10_line</t>
  </si>
  <si>
    <t>Line18D10_line</t>
  </si>
  <si>
    <t>Line23D10_line</t>
  </si>
  <si>
    <t>Line17D10_line</t>
  </si>
  <si>
    <t>Line24D10_line</t>
  </si>
  <si>
    <t>Line16D10_line</t>
  </si>
  <si>
    <t>Line25D10_line</t>
  </si>
  <si>
    <t>Line15D10_line</t>
  </si>
  <si>
    <t>Line14D10_line</t>
  </si>
  <si>
    <t>Line13D10_line</t>
  </si>
  <si>
    <t>Line12D10_line</t>
  </si>
  <si>
    <t>Line11D10_line</t>
  </si>
  <si>
    <t>Line10D10_line</t>
  </si>
  <si>
    <t>Line9D10_line</t>
  </si>
  <si>
    <t>AG20.2B_D14</t>
  </si>
  <si>
    <t>Line39D14_line</t>
  </si>
  <si>
    <t>Line40D14_line</t>
  </si>
  <si>
    <t>Line41D14_line</t>
  </si>
  <si>
    <t>Line42D14_line</t>
  </si>
  <si>
    <t>D16</t>
  </si>
  <si>
    <t>D19</t>
  </si>
  <si>
    <t>D17</t>
  </si>
  <si>
    <t>AG20.2B_D10, D14</t>
  </si>
  <si>
    <t>AG19.6A_L1-rim</t>
  </si>
  <si>
    <t xml:space="preserve">AG19.6A_bt2 </t>
  </si>
  <si>
    <t>AG19.6A_thin_L1 Line 101</t>
  </si>
  <si>
    <t xml:space="preserve">AG19.6A_bt3 </t>
  </si>
  <si>
    <t xml:space="preserve">AG19.6A_bt4 </t>
  </si>
  <si>
    <t xml:space="preserve">AG19.6A_bt7 </t>
  </si>
  <si>
    <t xml:space="preserve">AG19.6A_bt8 </t>
  </si>
  <si>
    <t xml:space="preserve">AG19.6A_bt9 </t>
  </si>
  <si>
    <t xml:space="preserve">AG19.6A_bt10 </t>
  </si>
  <si>
    <t xml:space="preserve">AG19.6A_pl3 </t>
  </si>
  <si>
    <t xml:space="preserve">AG19.6A_pl4 </t>
  </si>
  <si>
    <t xml:space="preserve">AG19.6A_pl5 </t>
  </si>
  <si>
    <t xml:space="preserve">AG19.6A_pl6 </t>
  </si>
  <si>
    <t>AG19.6C_thicksupglu_L2 Line 009</t>
  </si>
  <si>
    <t>AG19.6C_thicksupglu_L2 Line 010</t>
  </si>
  <si>
    <t>AG19.6C_thicksupglu_L2 Line 011</t>
  </si>
  <si>
    <t>AG19.6C_thicksupglu_L2 Line 012</t>
  </si>
  <si>
    <t>AG19.6C_thicksupglu_L2 Line 013</t>
  </si>
  <si>
    <t>AG19.6C_thicksupglu_L2 Line 014</t>
  </si>
  <si>
    <t>AG19.6C_thicksupglu_L2 Line 015</t>
  </si>
  <si>
    <t>AG19.6C_thicksupglu_L2 Line 016</t>
  </si>
  <si>
    <t>AG19.6C_thicksupglu_L2 Line 017</t>
  </si>
  <si>
    <t>AG19.6C_thicksupglu_L2 Line 018</t>
  </si>
  <si>
    <t>AG19.6C_thicksupglu_L2 Line 019</t>
  </si>
  <si>
    <t>AG19.6C_L2</t>
  </si>
  <si>
    <t xml:space="preserve">AG19.6C_bt1 </t>
  </si>
  <si>
    <t>AG19.6C_thicksupglu_L2 Line 044</t>
  </si>
  <si>
    <t>AG19.6C_thicksupglu_L2 Line 045</t>
  </si>
  <si>
    <t>AG19.6C_thicksupglu_L2 Line 047</t>
  </si>
  <si>
    <t>AG19.6C_thicksupglu_L2 Line 048</t>
  </si>
  <si>
    <t>AG19.6C_thicksupglu_L2 Line 049</t>
  </si>
  <si>
    <t>AG19.6C_thicksupglu_L2 Line 050</t>
  </si>
  <si>
    <t>AG19.6C_thicksupglu_L2 Line 051</t>
  </si>
  <si>
    <t>AG19.6C_thicksupglu_L2 Line 052</t>
  </si>
  <si>
    <t>AG19.6C_thicksupglu_L2 Line 053</t>
  </si>
  <si>
    <t>AG19.6C_thicksupglu_L2 Line 054</t>
  </si>
  <si>
    <t>AG19.6C_thicksupglu_L2 Line 055</t>
  </si>
  <si>
    <t xml:space="preserve">AV19.7_bt1 </t>
  </si>
  <si>
    <t xml:space="preserve">AV19.7_pl1 </t>
  </si>
  <si>
    <t>OS16-006_L outer</t>
  </si>
  <si>
    <t xml:space="preserve">OS16-006-gr Line 008 </t>
  </si>
  <si>
    <t xml:space="preserve">OS16-006-gr Line 007 </t>
  </si>
  <si>
    <t xml:space="preserve">OS16-006-gr Line 006 </t>
  </si>
  <si>
    <t xml:space="preserve">OS16-006-gr Line 005 </t>
  </si>
  <si>
    <t xml:space="preserve">OS16-006-gr Line 004 </t>
  </si>
  <si>
    <t xml:space="preserve">OS16-006-gr Line 003 </t>
  </si>
  <si>
    <t xml:space="preserve">OS16-006-gr Line 002 </t>
  </si>
  <si>
    <t>inclusion - "outer rim"</t>
  </si>
  <si>
    <t>This worksheet contains geothermometers and geobarometers</t>
  </si>
  <si>
    <t>applied for the calculations of T-P conditions of "outer rims" and "inner rims"</t>
  </si>
  <si>
    <t>profiles or inner garnet compositions, combined with matrix phases</t>
  </si>
  <si>
    <t>AV19.7C_L1</t>
  </si>
  <si>
    <t>OS16-006_L</t>
  </si>
  <si>
    <t>"outer rim"</t>
  </si>
  <si>
    <r>
      <rPr>
        <i/>
        <sz val="11"/>
        <color theme="1"/>
        <rFont val="Calibri"/>
        <family val="2"/>
        <scheme val="minor"/>
      </rPr>
      <t>"inner rims"</t>
    </r>
    <r>
      <rPr>
        <sz val="11"/>
        <color theme="1"/>
        <rFont val="Calibri"/>
        <family val="2"/>
        <scheme val="minor"/>
      </rPr>
      <t xml:space="preserve"> are calculated considering the innermost part of the measured </t>
    </r>
  </si>
  <si>
    <t>bt border_pt1 on profile</t>
  </si>
  <si>
    <t>AG19.6A_thin_L1 Line 049</t>
  </si>
  <si>
    <t>AG19.6A_thin_L1 Line 048</t>
  </si>
  <si>
    <t>AG19.6A_thin_L1 Line 047</t>
  </si>
  <si>
    <t>AG19.6A_thin_L1 Line 046</t>
  </si>
  <si>
    <t>AG19.6A_thin_L1 Line 045</t>
  </si>
  <si>
    <t>AG19.6A_thin_L1 Line 044</t>
  </si>
  <si>
    <t>AG19.6A_thin_L1 Line 043</t>
  </si>
  <si>
    <t>AG19.6A_thin_L1 Line 042</t>
  </si>
  <si>
    <t>AG19.6A_thin_L1 Line 041</t>
  </si>
  <si>
    <t>AG19.6A_thin_L1 Line 040</t>
  </si>
  <si>
    <t>AG19.6A_thin_L1 Line 039</t>
  </si>
  <si>
    <t>AG19.6A_thin_L1 Line 053</t>
  </si>
  <si>
    <t>AG19.6A_thin_L1 Line 054</t>
  </si>
  <si>
    <t>AG19.6A_thin_L1 Line 055</t>
  </si>
  <si>
    <t>AG19.6A_thin_L1 Line 056</t>
  </si>
  <si>
    <t>AG19.6A_thin_L1 Line 057</t>
  </si>
  <si>
    <t>AG19.6A_thin_L1 Line 058</t>
  </si>
  <si>
    <t>AG19.6A_thin_L1 Line 059</t>
  </si>
  <si>
    <t>AG19.6A_thin_L1 Line 060</t>
  </si>
  <si>
    <t>AG19.6A_thin_L1 Line 061</t>
  </si>
  <si>
    <t>AG19.6A_thin_L1 Line 062</t>
  </si>
  <si>
    <t>AG19.6A_thin_L1 Line 063</t>
  </si>
  <si>
    <t>analysis</t>
  </si>
  <si>
    <t>bt border_pt2 on profile</t>
  </si>
  <si>
    <t>bt border_pt3 on profile</t>
  </si>
  <si>
    <t>bt border_pt4 on profile</t>
  </si>
  <si>
    <t>bt border_pt5 on profile</t>
  </si>
  <si>
    <t>bt border_pt6 on profile</t>
  </si>
  <si>
    <t>bt border_pt7 on profile</t>
  </si>
  <si>
    <t>bt border_pt8 on profile</t>
  </si>
  <si>
    <t>bt border_pt9 on profile</t>
  </si>
  <si>
    <t>bt border_pt10 on profile</t>
  </si>
  <si>
    <t>grt border_pt2 on profile</t>
  </si>
  <si>
    <t>grt border_pt3 on profile</t>
  </si>
  <si>
    <t>grt border_pt4 on profile</t>
  </si>
  <si>
    <t>grt border_pt5 on profile</t>
  </si>
  <si>
    <t>grt border_pt6 on profile</t>
  </si>
  <si>
    <t>grt border_pt7 on profile</t>
  </si>
  <si>
    <t>grt border_pt8 on profile</t>
  </si>
  <si>
    <t>grt border_pt9 on profile</t>
  </si>
  <si>
    <t>grt border_pt10 on profile</t>
  </si>
  <si>
    <t>matrix bt</t>
  </si>
  <si>
    <t>matrix bt, close to profile</t>
  </si>
  <si>
    <t>grt border_pt11 on profile</t>
  </si>
  <si>
    <t>average of AG19.6A_pl3 and pl4</t>
  </si>
  <si>
    <t>matrix pl, close to garnet</t>
  </si>
  <si>
    <t>inner grt, end of profile</t>
  </si>
  <si>
    <t>matrix pl, close to profile</t>
  </si>
  <si>
    <t>matrix pl</t>
  </si>
  <si>
    <t>phen border_pt1 on profile</t>
  </si>
  <si>
    <t>phen border_pt2 on profile</t>
  </si>
  <si>
    <t>phen border_pt3 on profile</t>
  </si>
  <si>
    <t>phen border_pt4 on profile</t>
  </si>
  <si>
    <t>phen border_pt5 on profile</t>
  </si>
  <si>
    <r>
      <rPr>
        <i/>
        <sz val="11"/>
        <color theme="1"/>
        <rFont val="Calibri"/>
        <family val="2"/>
        <scheme val="minor"/>
      </rPr>
      <t>"outer rims"</t>
    </r>
    <r>
      <rPr>
        <sz val="11"/>
        <color theme="1"/>
        <rFont val="Calibri"/>
        <family val="2"/>
        <scheme val="minor"/>
      </rPr>
      <t xml:space="preserve"> are calculated considering the first 11 points at the garnet rim</t>
    </r>
  </si>
  <si>
    <t>bt border_pt11 on profile</t>
  </si>
  <si>
    <t>phen border on profile</t>
  </si>
  <si>
    <t>matrix phen</t>
  </si>
  <si>
    <t>inner grt_pt1 on profile</t>
  </si>
  <si>
    <t>inner grt_pt2 on profile</t>
  </si>
  <si>
    <t>inner grt_pt3 on profile</t>
  </si>
  <si>
    <t>inner grt_pt4 on profile</t>
  </si>
  <si>
    <t>inner grt_pt5 on profile</t>
  </si>
  <si>
    <t>inner grt_pt6 on profile</t>
  </si>
  <si>
    <t>inner grt_pt7 on profile</t>
  </si>
  <si>
    <t>inner grt_pt8 on profile</t>
  </si>
  <si>
    <t>inner grt_pt9 on profile</t>
  </si>
  <si>
    <t>inner grt_pt10 on profile</t>
  </si>
  <si>
    <t>average of C1, C5, C6, C14</t>
  </si>
  <si>
    <t>average of AG19.6C_bt4, 7, 8, 9</t>
  </si>
  <si>
    <t>bt touching grt, close to profile</t>
  </si>
  <si>
    <t>inner grt_pt11 on profile</t>
  </si>
  <si>
    <t>average of AG19.6C_thicksupglu_L2 Line 001, 002</t>
  </si>
  <si>
    <t>pl border, on profile</t>
  </si>
  <si>
    <t>average of AG19.6C_pl3, 4, 5, 6</t>
  </si>
  <si>
    <t>pl border_pt1 on profile</t>
  </si>
  <si>
    <t>pl border_pt2 on profile</t>
  </si>
  <si>
    <t>pl border_pt3 on profile</t>
  </si>
  <si>
    <t>pl border_pt4 on profile</t>
  </si>
  <si>
    <t>pl border</t>
  </si>
  <si>
    <t>bt border</t>
  </si>
  <si>
    <t>Line37D14_line</t>
  </si>
  <si>
    <t>Line36D14_line</t>
  </si>
  <si>
    <t>Line35D14_line</t>
  </si>
  <si>
    <t>Line34D14_line</t>
  </si>
  <si>
    <t>Line33D14_line</t>
  </si>
  <si>
    <t>Line32D14_line</t>
  </si>
  <si>
    <t>Line31D14_line</t>
  </si>
  <si>
    <t>Line30D14_line</t>
  </si>
  <si>
    <t>Line29D14_line</t>
  </si>
  <si>
    <t>Line28D14_line</t>
  </si>
  <si>
    <t>Line27D14_line</t>
  </si>
  <si>
    <t>garnet core</t>
  </si>
  <si>
    <t>average of D7, 18, 23</t>
  </si>
  <si>
    <t>AV19.7_thicksupglu_L1 Line 009</t>
  </si>
  <si>
    <t>AV19.7_thicksupglu_L1 Line 010</t>
  </si>
  <si>
    <t>AV19.7_thicksupglu_L1 Line 011</t>
  </si>
  <si>
    <t>AV19.7_thicksupglu_L1 Line 012</t>
  </si>
  <si>
    <t>AV19.7_thicksupglu_L1 Line 013</t>
  </si>
  <si>
    <t>AV19.7_thicksupglu_L1 Line 014</t>
  </si>
  <si>
    <t>AV19.7_thicksupglu_L1 Line 015</t>
  </si>
  <si>
    <t>AV19.7_thicksupglu_L1 Line 016</t>
  </si>
  <si>
    <t>AV19.7_thicksupglu_L1 Line 017</t>
  </si>
  <si>
    <t>AV19.7_thicksupglu_L1 Line 018</t>
  </si>
  <si>
    <t>AV19.7_thicksupglu_L1 Line 019</t>
  </si>
  <si>
    <t>average of pl AV19.7_pl4, 6, 7, 8 in matrix</t>
  </si>
  <si>
    <t>AV19.7_thicksupglu_L1 Line 109</t>
  </si>
  <si>
    <t>AV19.7_thicksupglu_L1 Line 110</t>
  </si>
  <si>
    <t>AV19.7_thicksupglu_L1 Line 111</t>
  </si>
  <si>
    <t>AV19.7_thicksupglu_L1 Line 112</t>
  </si>
  <si>
    <t>AV19.7_thicksupglu_L1 Line 113</t>
  </si>
  <si>
    <t>AV19.7_thicksupglu_L1 Line 114</t>
  </si>
  <si>
    <t>AV19.7_thicksupglu_L1 Line 115</t>
  </si>
  <si>
    <t>AV19.7_thicksupglu_L1 Line 116</t>
  </si>
  <si>
    <t>AV19.7_thicksupglu_L1 Line 117</t>
  </si>
  <si>
    <t>AV19.7_thicksupglu_L1 Line 118</t>
  </si>
  <si>
    <t>AV19.7_thicksupglu_L1 Line 119</t>
  </si>
  <si>
    <t>innermost grt_pt1 on profile</t>
  </si>
  <si>
    <t xml:space="preserve">average of AV19.7_bt1, 4, 5, 6, 7, 8, 9, 10 </t>
  </si>
  <si>
    <t>average of AV19.7_bt1, 4, 5, 6, 7, 8, 9, 11</t>
  </si>
  <si>
    <t>average of AV19.7_bt1, 4, 5, 6, 7, 8, 9, 12</t>
  </si>
  <si>
    <t>average of AV19.7_bt1, 4, 5, 6, 7, 8, 9, 13</t>
  </si>
  <si>
    <t>average of AV19.7_bt1, 4, 5, 6, 7, 8, 9, 14</t>
  </si>
  <si>
    <t>average of AV19.7_bt1, 4, 5, 6, 7, 8, 9, 15</t>
  </si>
  <si>
    <t>average of AV19.7_bt1, 4, 5, 6, 7, 8, 9, 16</t>
  </si>
  <si>
    <t>average of AV19.7_bt1, 4, 5, 6, 7, 8, 9, 17</t>
  </si>
  <si>
    <t>average of AV19.7_bt1, 4, 5, 6, 7, 8, 9, 18</t>
  </si>
  <si>
    <t>average of AV19.7_bt1, 4, 5, 6, 7, 8, 9, 19</t>
  </si>
  <si>
    <t>average of AV19.7_bt1, 4, 5, 6, 7, 8, 9, 20</t>
  </si>
  <si>
    <t xml:space="preserve">average of OS16-006_bt5, 6, 7, 8, 9, 10 </t>
  </si>
  <si>
    <t xml:space="preserve">OS16-006-gr Line 048 </t>
  </si>
  <si>
    <t xml:space="preserve">OS16-006-gr Line 049 </t>
  </si>
  <si>
    <t xml:space="preserve">OS16-006-gr Line 050 </t>
  </si>
  <si>
    <t xml:space="preserve">OS16-006-gr Line 051 </t>
  </si>
  <si>
    <t xml:space="preserve">OS16-006-gr Line 052 </t>
  </si>
  <si>
    <t xml:space="preserve">OS16-006-gr Line 053 </t>
  </si>
  <si>
    <t xml:space="preserve">OS16-006-gr Line 054 </t>
  </si>
  <si>
    <t xml:space="preserve">OS16-006-gr Line 055 </t>
  </si>
  <si>
    <t xml:space="preserve">OS16-006-gr Line 056 </t>
  </si>
  <si>
    <t xml:space="preserve">OS16-006-gr Line 057 </t>
  </si>
  <si>
    <t xml:space="preserve">OS16-006-gr Line 058 </t>
  </si>
  <si>
    <t xml:space="preserve">OS16-006-gr Line 021 </t>
  </si>
  <si>
    <t xml:space="preserve">OS16-006-gr Line 022 </t>
  </si>
  <si>
    <t xml:space="preserve">OS16-006-gr Line 023 </t>
  </si>
  <si>
    <t xml:space="preserve">OS16-006-gr Line 025 </t>
  </si>
  <si>
    <t xml:space="preserve">OS16-006-gr Line 026 </t>
  </si>
  <si>
    <t xml:space="preserve">OS16-006-gr Line 027 </t>
  </si>
  <si>
    <t xml:space="preserve">OS16-006-gr Line 028 </t>
  </si>
  <si>
    <t xml:space="preserve">OS16-006-gr Line 029 </t>
  </si>
  <si>
    <t xml:space="preserve">OS16-006-gr Line 030 </t>
  </si>
  <si>
    <t xml:space="preserve">OS16-006-gr Line 031 </t>
  </si>
  <si>
    <t>OS16-006-gr Line 032</t>
  </si>
  <si>
    <t>average of OS16-006_pl4, 5</t>
  </si>
  <si>
    <t>average of OS16-006_pl1, 2</t>
  </si>
  <si>
    <t>pl touching grt, next to profile</t>
  </si>
  <si>
    <t>outermost grt border_pt1 on profile</t>
  </si>
  <si>
    <t xml:space="preserve">inner grt </t>
  </si>
  <si>
    <t>A18</t>
  </si>
  <si>
    <t>average of A22, 23, 24, 25, 26, 27</t>
  </si>
  <si>
    <t>Line 33 Al4n</t>
  </si>
  <si>
    <t>Line 43 Al4n</t>
  </si>
  <si>
    <t>Line 42 Al4n</t>
  </si>
  <si>
    <t>Line 41 Al4n</t>
  </si>
  <si>
    <t>Line 40 Al4n</t>
  </si>
  <si>
    <t>Line 39 Al4n</t>
  </si>
  <si>
    <t>Line 38 Al4n</t>
  </si>
  <si>
    <t>Line 37 Al4n</t>
  </si>
  <si>
    <t>Line 36 Al4n</t>
  </si>
  <si>
    <t>Line 35 Al4n</t>
  </si>
  <si>
    <t>Line 34 Al4n</t>
  </si>
  <si>
    <t>pl inclusion, next to profile</t>
  </si>
  <si>
    <t>Line 25 BL2n</t>
  </si>
  <si>
    <t>Line 15 BL2n</t>
  </si>
  <si>
    <t>Line 24 BL2n</t>
  </si>
  <si>
    <t>Line 23 BL2n</t>
  </si>
  <si>
    <t>Line 22 BL2n</t>
  </si>
  <si>
    <t>Line 21 BL2n</t>
  </si>
  <si>
    <t>Line 20 BL2n</t>
  </si>
  <si>
    <t>Line 19 BL2n</t>
  </si>
  <si>
    <t>Line 18 BL2n</t>
  </si>
  <si>
    <t>Line 17 BL2n</t>
  </si>
  <si>
    <t>Line 16 BL2n</t>
  </si>
  <si>
    <t>matrix grt</t>
  </si>
  <si>
    <t>Si (apfu)</t>
  </si>
  <si>
    <t>Mg (apfu)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</si>
</sst>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_);[Red]\(0.000\)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0"/>
      <name val="Arial"/>
      <family val="2"/>
    </font>
    <font>
      <i/>
      <sz val="11"/>
      <color rgb="FF00B0F0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FF66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7030A0"/>
      <name val="Calibri"/>
      <family val="2"/>
      <scheme val="minor"/>
    </font>
    <font>
      <i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i/>
      <sz val="11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196">
    <xf numFmtId="0" fontId="0" fillId="0" borderId="0" xfId="0"/>
    <xf numFmtId="0" fontId="2" fillId="2" borderId="4" xfId="0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4" xfId="0" applyFont="1" applyFill="1" applyBorder="1"/>
    <xf numFmtId="0" fontId="2" fillId="0" borderId="0" xfId="0" applyFont="1" applyFill="1" applyBorder="1"/>
    <xf numFmtId="0" fontId="3" fillId="0" borderId="0" xfId="0" applyFont="1" applyFill="1"/>
    <xf numFmtId="0" fontId="4" fillId="0" borderId="0" xfId="0" applyFont="1" applyFill="1" applyBorder="1"/>
    <xf numFmtId="0" fontId="6" fillId="0" borderId="0" xfId="0" applyFont="1" applyFill="1" applyBorder="1"/>
    <xf numFmtId="0" fontId="0" fillId="0" borderId="0" xfId="0" applyFill="1"/>
    <xf numFmtId="0" fontId="8" fillId="0" borderId="0" xfId="0" applyFont="1" applyFill="1" applyBorder="1"/>
    <xf numFmtId="0" fontId="3" fillId="0" borderId="0" xfId="0" applyFont="1"/>
    <xf numFmtId="0" fontId="3" fillId="0" borderId="4" xfId="0" applyFont="1" applyBorder="1"/>
    <xf numFmtId="0" fontId="9" fillId="0" borderId="4" xfId="0" applyFont="1" applyFill="1" applyBorder="1"/>
    <xf numFmtId="0" fontId="9" fillId="0" borderId="4" xfId="0" applyFont="1" applyBorder="1"/>
    <xf numFmtId="0" fontId="3" fillId="0" borderId="0" xfId="0" applyFont="1" applyFill="1" applyBorder="1"/>
    <xf numFmtId="0" fontId="2" fillId="0" borderId="0" xfId="0" applyFont="1" applyBorder="1"/>
    <xf numFmtId="0" fontId="2" fillId="0" borderId="8" xfId="0" applyFont="1" applyBorder="1"/>
    <xf numFmtId="0" fontId="2" fillId="6" borderId="4" xfId="0" applyFont="1" applyFill="1" applyBorder="1"/>
    <xf numFmtId="0" fontId="10" fillId="0" borderId="2" xfId="0" applyFont="1" applyBorder="1"/>
    <xf numFmtId="0" fontId="10" fillId="5" borderId="2" xfId="0" applyFont="1" applyFill="1" applyBorder="1"/>
    <xf numFmtId="0" fontId="10" fillId="0" borderId="2" xfId="0" applyFont="1" applyFill="1" applyBorder="1"/>
    <xf numFmtId="0" fontId="11" fillId="0" borderId="0" xfId="0" applyFont="1"/>
    <xf numFmtId="0" fontId="10" fillId="3" borderId="0" xfId="0" applyFont="1" applyFill="1"/>
    <xf numFmtId="0" fontId="12" fillId="0" borderId="4" xfId="0" applyFont="1" applyBorder="1"/>
    <xf numFmtId="0" fontId="13" fillId="0" borderId="0" xfId="0" applyFont="1" applyBorder="1"/>
    <xf numFmtId="0" fontId="13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3" fillId="0" borderId="4" xfId="0" applyFont="1" applyBorder="1" applyAlignment="1">
      <alignment horizontal="right"/>
    </xf>
    <xf numFmtId="0" fontId="13" fillId="0" borderId="4" xfId="0" applyFont="1" applyBorder="1"/>
    <xf numFmtId="0" fontId="13" fillId="0" borderId="4" xfId="0" applyFont="1" applyBorder="1" applyAlignment="1">
      <alignment horizontal="left"/>
    </xf>
    <xf numFmtId="0" fontId="0" fillId="0" borderId="0" xfId="0" applyFont="1"/>
    <xf numFmtId="0" fontId="10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165" fontId="10" fillId="0" borderId="0" xfId="0" applyNumberFormat="1" applyFont="1" applyAlignment="1">
      <alignment horizontal="center"/>
    </xf>
    <xf numFmtId="0" fontId="0" fillId="0" borderId="4" xfId="0" applyFont="1" applyBorder="1"/>
    <xf numFmtId="0" fontId="10" fillId="3" borderId="4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4" xfId="0" applyNumberFormat="1" applyFont="1" applyBorder="1" applyAlignment="1">
      <alignment horizontal="right"/>
    </xf>
    <xf numFmtId="1" fontId="10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165" fontId="10" fillId="0" borderId="4" xfId="0" applyNumberFormat="1" applyFont="1" applyBorder="1" applyAlignment="1">
      <alignment horizontal="center"/>
    </xf>
    <xf numFmtId="0" fontId="10" fillId="0" borderId="4" xfId="0" applyFont="1" applyBorder="1"/>
    <xf numFmtId="0" fontId="15" fillId="0" borderId="0" xfId="0" applyFont="1"/>
    <xf numFmtId="16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  <xf numFmtId="0" fontId="0" fillId="3" borderId="0" xfId="0" applyFont="1" applyFill="1"/>
    <xf numFmtId="164" fontId="10" fillId="3" borderId="0" xfId="0" applyNumberFormat="1" applyFont="1" applyFill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1" fontId="10" fillId="0" borderId="0" xfId="0" applyNumberFormat="1" applyFont="1" applyFill="1" applyAlignment="1">
      <alignment horizontal="center"/>
    </xf>
    <xf numFmtId="0" fontId="0" fillId="0" borderId="0" xfId="0" applyFont="1" applyFill="1"/>
    <xf numFmtId="0" fontId="0" fillId="2" borderId="0" xfId="0" applyFont="1" applyFill="1"/>
    <xf numFmtId="0" fontId="0" fillId="0" borderId="7" xfId="0" applyFont="1" applyBorder="1"/>
    <xf numFmtId="0" fontId="0" fillId="5" borderId="2" xfId="0" applyFont="1" applyFill="1" applyBorder="1"/>
    <xf numFmtId="0" fontId="0" fillId="0" borderId="0" xfId="0" applyFont="1" applyBorder="1"/>
    <xf numFmtId="0" fontId="0" fillId="0" borderId="2" xfId="0" applyFont="1" applyBorder="1"/>
    <xf numFmtId="0" fontId="0" fillId="0" borderId="2" xfId="0" applyFont="1" applyFill="1" applyBorder="1"/>
    <xf numFmtId="0" fontId="0" fillId="0" borderId="4" xfId="0" applyFont="1" applyFill="1" applyBorder="1"/>
    <xf numFmtId="0" fontId="0" fillId="2" borderId="4" xfId="0" applyFont="1" applyFill="1" applyBorder="1"/>
    <xf numFmtId="0" fontId="0" fillId="0" borderId="0" xfId="0" applyFont="1" applyFill="1" applyBorder="1"/>
    <xf numFmtId="0" fontId="0" fillId="2" borderId="0" xfId="0" applyFont="1" applyFill="1" applyBorder="1"/>
    <xf numFmtId="0" fontId="0" fillId="0" borderId="3" xfId="0" applyFont="1" applyBorder="1"/>
    <xf numFmtId="0" fontId="0" fillId="6" borderId="0" xfId="0" applyFont="1" applyFill="1"/>
    <xf numFmtId="0" fontId="0" fillId="0" borderId="1" xfId="0" applyFont="1" applyBorder="1"/>
    <xf numFmtId="0" fontId="0" fillId="0" borderId="8" xfId="0" applyFont="1" applyBorder="1"/>
    <xf numFmtId="0" fontId="2" fillId="0" borderId="7" xfId="0" applyFont="1" applyBorder="1"/>
    <xf numFmtId="0" fontId="2" fillId="7" borderId="8" xfId="0" applyFont="1" applyFill="1" applyBorder="1"/>
    <xf numFmtId="0" fontId="2" fillId="7" borderId="4" xfId="0" applyFont="1" applyFill="1" applyBorder="1"/>
    <xf numFmtId="0" fontId="0" fillId="7" borderId="0" xfId="0" applyFont="1" applyFill="1"/>
    <xf numFmtId="0" fontId="0" fillId="7" borderId="0" xfId="0" applyFont="1" applyFill="1" applyBorder="1"/>
    <xf numFmtId="0" fontId="16" fillId="0" borderId="0" xfId="0" applyFont="1"/>
    <xf numFmtId="0" fontId="15" fillId="0" borderId="4" xfId="0" applyFont="1" applyBorder="1"/>
    <xf numFmtId="1" fontId="10" fillId="3" borderId="4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right"/>
    </xf>
    <xf numFmtId="0" fontId="0" fillId="0" borderId="1" xfId="0" applyBorder="1"/>
    <xf numFmtId="0" fontId="0" fillId="0" borderId="3" xfId="0" applyBorder="1"/>
    <xf numFmtId="0" fontId="0" fillId="5" borderId="2" xfId="0" applyFill="1" applyBorder="1"/>
    <xf numFmtId="0" fontId="10" fillId="0" borderId="0" xfId="0" applyFont="1" applyFill="1"/>
    <xf numFmtId="0" fontId="0" fillId="0" borderId="0" xfId="0" applyBorder="1"/>
    <xf numFmtId="0" fontId="0" fillId="2" borderId="0" xfId="0" applyFill="1" applyBorder="1"/>
    <xf numFmtId="0" fontId="3" fillId="0" borderId="0" xfId="0" applyFont="1" applyBorder="1"/>
    <xf numFmtId="0" fontId="0" fillId="0" borderId="4" xfId="0" applyBorder="1"/>
    <xf numFmtId="0" fontId="0" fillId="0" borderId="9" xfId="0" applyBorder="1"/>
    <xf numFmtId="0" fontId="0" fillId="0" borderId="6" xfId="0" applyBorder="1"/>
    <xf numFmtId="0" fontId="10" fillId="0" borderId="0" xfId="0" applyFont="1" applyBorder="1"/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18" fillId="0" borderId="0" xfId="0" applyFont="1"/>
    <xf numFmtId="0" fontId="19" fillId="0" borderId="0" xfId="0" applyFont="1" applyAlignment="1">
      <alignment horizontal="center"/>
    </xf>
    <xf numFmtId="1" fontId="10" fillId="0" borderId="2" xfId="0" applyNumberFormat="1" applyFont="1" applyBorder="1" applyAlignment="1">
      <alignment horizontal="center"/>
    </xf>
    <xf numFmtId="1" fontId="10" fillId="0" borderId="5" xfId="0" applyNumberFormat="1" applyFont="1" applyBorder="1" applyAlignment="1">
      <alignment horizontal="center"/>
    </xf>
    <xf numFmtId="0" fontId="10" fillId="3" borderId="4" xfId="0" applyFont="1" applyFill="1" applyBorder="1"/>
    <xf numFmtId="0" fontId="19" fillId="0" borderId="4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165" fontId="10" fillId="0" borderId="0" xfId="0" applyNumberFormat="1" applyFont="1" applyFill="1" applyAlignment="1">
      <alignment horizontal="center"/>
    </xf>
    <xf numFmtId="0" fontId="10" fillId="0" borderId="0" xfId="0" applyFont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165" fontId="10" fillId="0" borderId="0" xfId="0" applyNumberFormat="1" applyFont="1" applyBorder="1" applyAlignment="1">
      <alignment horizontal="center"/>
    </xf>
    <xf numFmtId="0" fontId="10" fillId="0" borderId="4" xfId="0" applyFont="1" applyFill="1" applyBorder="1"/>
    <xf numFmtId="0" fontId="10" fillId="0" borderId="4" xfId="0" applyFont="1" applyFill="1" applyBorder="1" applyAlignment="1">
      <alignment horizontal="center"/>
    </xf>
    <xf numFmtId="1" fontId="10" fillId="0" borderId="4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right"/>
    </xf>
    <xf numFmtId="0" fontId="10" fillId="0" borderId="4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horizontal="center"/>
    </xf>
    <xf numFmtId="0" fontId="15" fillId="0" borderId="0" xfId="0" applyFont="1" applyFill="1"/>
    <xf numFmtId="0" fontId="19" fillId="0" borderId="8" xfId="0" applyFont="1" applyBorder="1"/>
    <xf numFmtId="0" fontId="10" fillId="0" borderId="0" xfId="1" applyFont="1"/>
    <xf numFmtId="0" fontId="19" fillId="3" borderId="0" xfId="0" applyFont="1" applyFill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left"/>
    </xf>
    <xf numFmtId="0" fontId="19" fillId="0" borderId="4" xfId="0" applyFont="1" applyBorder="1" applyAlignment="1">
      <alignment horizontal="left"/>
    </xf>
    <xf numFmtId="0" fontId="19" fillId="3" borderId="4" xfId="0" applyFont="1" applyFill="1" applyBorder="1" applyAlignment="1">
      <alignment horizontal="center"/>
    </xf>
    <xf numFmtId="0" fontId="19" fillId="0" borderId="4" xfId="0" applyFont="1" applyBorder="1" applyAlignment="1">
      <alignment horizontal="right"/>
    </xf>
    <xf numFmtId="0" fontId="18" fillId="0" borderId="4" xfId="0" applyFont="1" applyBorder="1" applyAlignment="1">
      <alignment horizontal="left"/>
    </xf>
    <xf numFmtId="164" fontId="10" fillId="3" borderId="0" xfId="0" applyNumberFormat="1" applyFont="1" applyFill="1"/>
    <xf numFmtId="166" fontId="10" fillId="3" borderId="0" xfId="0" applyNumberFormat="1" applyFont="1" applyFill="1"/>
    <xf numFmtId="0" fontId="0" fillId="0" borderId="1" xfId="0" applyFill="1" applyBorder="1"/>
    <xf numFmtId="0" fontId="0" fillId="0" borderId="0" xfId="0" applyFill="1" applyBorder="1"/>
    <xf numFmtId="0" fontId="13" fillId="0" borderId="0" xfId="0" applyFont="1" applyBorder="1" applyAlignment="1">
      <alignment horizontal="center"/>
    </xf>
    <xf numFmtId="0" fontId="19" fillId="0" borderId="6" xfId="0" applyFont="1" applyBorder="1" applyAlignment="1">
      <alignment horizontal="left"/>
    </xf>
    <xf numFmtId="0" fontId="3" fillId="0" borderId="3" xfId="0" applyFont="1" applyBorder="1"/>
    <xf numFmtId="0" fontId="10" fillId="0" borderId="3" xfId="0" applyFont="1" applyFill="1" applyBorder="1"/>
    <xf numFmtId="0" fontId="10" fillId="0" borderId="3" xfId="0" applyFont="1" applyBorder="1"/>
    <xf numFmtId="0" fontId="10" fillId="0" borderId="6" xfId="0" applyFont="1" applyFill="1" applyBorder="1"/>
    <xf numFmtId="0" fontId="15" fillId="0" borderId="3" xfId="0" applyFont="1" applyBorder="1"/>
    <xf numFmtId="0" fontId="15" fillId="0" borderId="3" xfId="0" applyFont="1" applyFill="1" applyBorder="1"/>
    <xf numFmtId="0" fontId="10" fillId="0" borderId="0" xfId="0" applyFont="1" applyFill="1" applyBorder="1"/>
    <xf numFmtId="0" fontId="19" fillId="0" borderId="9" xfId="1" applyFont="1" applyBorder="1"/>
    <xf numFmtId="0" fontId="10" fillId="0" borderId="1" xfId="0" applyFont="1" applyBorder="1"/>
    <xf numFmtId="0" fontId="10" fillId="0" borderId="9" xfId="0" applyFont="1" applyFill="1" applyBorder="1"/>
    <xf numFmtId="0" fontId="10" fillId="0" borderId="1" xfId="0" applyFont="1" applyFill="1" applyBorder="1"/>
    <xf numFmtId="0" fontId="10" fillId="0" borderId="9" xfId="0" applyFont="1" applyBorder="1" applyAlignment="1">
      <alignment horizontal="center"/>
    </xf>
    <xf numFmtId="0" fontId="10" fillId="0" borderId="9" xfId="0" applyFont="1" applyBorder="1"/>
    <xf numFmtId="0" fontId="19" fillId="0" borderId="6" xfId="1" applyFont="1" applyBorder="1"/>
    <xf numFmtId="0" fontId="0" fillId="0" borderId="3" xfId="0" applyFill="1" applyBorder="1"/>
    <xf numFmtId="0" fontId="17" fillId="0" borderId="0" xfId="0" applyFont="1" applyFill="1" applyBorder="1"/>
    <xf numFmtId="1" fontId="10" fillId="0" borderId="9" xfId="0" applyNumberFormat="1" applyFont="1" applyFill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1" fontId="10" fillId="5" borderId="2" xfId="0" applyNumberFormat="1" applyFont="1" applyFill="1" applyBorder="1" applyAlignment="1">
      <alignment horizontal="center"/>
    </xf>
    <xf numFmtId="1" fontId="10" fillId="4" borderId="2" xfId="0" applyNumberFormat="1" applyFont="1" applyFill="1" applyBorder="1" applyAlignment="1">
      <alignment horizontal="center"/>
    </xf>
    <xf numFmtId="1" fontId="10" fillId="0" borderId="5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0" fontId="15" fillId="0" borderId="0" xfId="0" applyFont="1" applyBorder="1"/>
    <xf numFmtId="0" fontId="15" fillId="0" borderId="0" xfId="0" applyFont="1" applyFill="1" applyBorder="1"/>
    <xf numFmtId="0" fontId="15" fillId="0" borderId="1" xfId="0" applyFont="1" applyBorder="1"/>
    <xf numFmtId="0" fontId="0" fillId="2" borderId="0" xfId="0" applyFill="1"/>
    <xf numFmtId="0" fontId="0" fillId="0" borderId="4" xfId="0" applyFill="1" applyBorder="1"/>
    <xf numFmtId="0" fontId="0" fillId="0" borderId="2" xfId="0" applyFill="1" applyBorder="1"/>
    <xf numFmtId="0" fontId="9" fillId="0" borderId="0" xfId="0" applyFont="1" applyFill="1" applyBorder="1"/>
    <xf numFmtId="0" fontId="9" fillId="0" borderId="8" xfId="0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0" fillId="0" borderId="5" xfId="0" applyFill="1" applyBorder="1"/>
    <xf numFmtId="0" fontId="0" fillId="2" borderId="4" xfId="0" applyFill="1" applyBorder="1"/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/>
    <xf numFmtId="0" fontId="2" fillId="6" borderId="8" xfId="0" applyFont="1" applyFill="1" applyBorder="1"/>
    <xf numFmtId="0" fontId="0" fillId="6" borderId="4" xfId="0" applyFill="1" applyBorder="1"/>
    <xf numFmtId="0" fontId="10" fillId="0" borderId="5" xfId="0" applyFont="1" applyBorder="1"/>
    <xf numFmtId="0" fontId="10" fillId="2" borderId="0" xfId="0" applyFont="1" applyFill="1" applyBorder="1"/>
    <xf numFmtId="1" fontId="10" fillId="3" borderId="0" xfId="0" applyNumberFormat="1" applyFont="1" applyFill="1" applyBorder="1" applyAlignment="1">
      <alignment horizontal="center"/>
    </xf>
    <xf numFmtId="0" fontId="15" fillId="0" borderId="9" xfId="0" applyFont="1" applyBorder="1"/>
    <xf numFmtId="0" fontId="15" fillId="0" borderId="1" xfId="0" applyFont="1" applyBorder="1" applyAlignment="1">
      <alignment horizontal="left"/>
    </xf>
    <xf numFmtId="0" fontId="0" fillId="0" borderId="5" xfId="0" applyFont="1" applyFill="1" applyBorder="1"/>
    <xf numFmtId="0" fontId="3" fillId="0" borderId="4" xfId="0" applyFont="1" applyFill="1" applyBorder="1"/>
    <xf numFmtId="0" fontId="3" fillId="0" borderId="1" xfId="0" applyFont="1" applyBorder="1"/>
    <xf numFmtId="164" fontId="10" fillId="3" borderId="0" xfId="0" applyNumberFormat="1" applyFont="1" applyFill="1" applyBorder="1" applyAlignment="1">
      <alignment horizontal="center"/>
    </xf>
    <xf numFmtId="0" fontId="0" fillId="3" borderId="0" xfId="0" applyFill="1"/>
    <xf numFmtId="164" fontId="10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center"/>
    </xf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19" fillId="0" borderId="10" xfId="1" applyFont="1" applyBorder="1" applyAlignment="1">
      <alignment horizontal="center"/>
    </xf>
    <xf numFmtId="0" fontId="19" fillId="0" borderId="11" xfId="1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</cellXfs>
  <cellStyles count="4">
    <cellStyle name="Normal" xfId="0" builtinId="0"/>
    <cellStyle name="Normal 10" xfId="1" xr:uid="{D96C42E1-77A1-4447-8870-09841A52FCFD}"/>
    <cellStyle name="Normal 2 2" xfId="2" xr:uid="{214B4AD0-FDFD-4EC2-ADAE-A2A9B029FC5A}"/>
    <cellStyle name="Normal 3" xfId="3" xr:uid="{F6945D5A-3C6F-49E0-AF17-35B54F8A2816}"/>
  </cellStyles>
  <dxfs count="0"/>
  <tableStyles count="0" defaultTableStyle="TableStyleMedium2" defaultPivotStyle="PivotStyleLight16"/>
  <colors>
    <mruColors>
      <color rgb="FFCCCC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4ABEB-0745-4BC1-80CA-B77EF0F75A64}">
  <dimension ref="B1:H8"/>
  <sheetViews>
    <sheetView workbookViewId="0">
      <selection activeCell="E14" sqref="E14"/>
    </sheetView>
  </sheetViews>
  <sheetFormatPr defaultRowHeight="14.4" x14ac:dyDescent="0.55000000000000004"/>
  <sheetData>
    <row r="1" spans="2:8" ht="14.7" thickBot="1" x14ac:dyDescent="0.6"/>
    <row r="2" spans="2:8" x14ac:dyDescent="0.55000000000000004">
      <c r="B2" s="184" t="s">
        <v>199</v>
      </c>
      <c r="C2" s="185"/>
      <c r="D2" s="185"/>
      <c r="E2" s="185"/>
      <c r="F2" s="185"/>
      <c r="G2" s="185"/>
      <c r="H2" s="186"/>
    </row>
    <row r="3" spans="2:8" ht="14.7" thickBot="1" x14ac:dyDescent="0.6">
      <c r="B3" s="187" t="s">
        <v>200</v>
      </c>
      <c r="C3" s="188"/>
      <c r="D3" s="188"/>
      <c r="E3" s="188"/>
      <c r="F3" s="188"/>
      <c r="G3" s="188"/>
      <c r="H3" s="189"/>
    </row>
    <row r="5" spans="2:8" x14ac:dyDescent="0.55000000000000004">
      <c r="B5" s="190" t="s">
        <v>261</v>
      </c>
      <c r="C5" s="191"/>
      <c r="D5" s="191"/>
      <c r="E5" s="191"/>
      <c r="F5" s="191"/>
      <c r="G5" s="191"/>
      <c r="H5" s="192"/>
    </row>
    <row r="7" spans="2:8" x14ac:dyDescent="0.55000000000000004">
      <c r="B7" s="89" t="s">
        <v>205</v>
      </c>
      <c r="C7" s="90"/>
      <c r="D7" s="90"/>
      <c r="E7" s="90"/>
      <c r="F7" s="90"/>
      <c r="G7" s="90"/>
      <c r="H7" s="91"/>
    </row>
    <row r="8" spans="2:8" x14ac:dyDescent="0.55000000000000004">
      <c r="B8" s="87" t="s">
        <v>201</v>
      </c>
      <c r="C8" s="85"/>
      <c r="D8" s="85"/>
      <c r="E8" s="85"/>
      <c r="F8" s="85"/>
      <c r="G8" s="85"/>
      <c r="H8" s="8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6E71C-6DA4-44CA-A435-C84490A07C4A}">
  <dimension ref="A1:GO167"/>
  <sheetViews>
    <sheetView workbookViewId="0">
      <pane ySplit="4" topLeftCell="A5" activePane="bottomLeft" state="frozen"/>
      <selection pane="bottomLeft"/>
    </sheetView>
  </sheetViews>
  <sheetFormatPr defaultRowHeight="14.4" x14ac:dyDescent="0.55000000000000004"/>
  <cols>
    <col min="1" max="1" width="16.3671875" style="37" customWidth="1"/>
    <col min="2" max="2" width="19" style="47" customWidth="1"/>
    <col min="3" max="3" width="33.9453125" style="137" customWidth="1"/>
    <col min="4" max="4" width="25.578125" style="141" bestFit="1" customWidth="1"/>
    <col min="5" max="5" width="28.1015625" style="135" customWidth="1"/>
    <col min="6" max="6" width="29.7890625" style="141" bestFit="1" customWidth="1"/>
    <col min="7" max="7" width="8.83984375" style="37"/>
    <col min="8" max="8" width="8.9453125" style="37" bestFit="1" customWidth="1"/>
    <col min="9" max="9" width="8.83984375" style="37"/>
    <col min="10" max="10" width="8.9453125" style="37" bestFit="1" customWidth="1"/>
    <col min="11" max="11" width="8.89453125" style="37" bestFit="1" customWidth="1"/>
    <col min="12" max="15" width="8.9453125" style="37" bestFit="1" customWidth="1"/>
    <col min="16" max="16" width="8.83984375" style="37"/>
    <col min="17" max="20" width="8.9453125" style="37" bestFit="1" customWidth="1"/>
    <col min="21" max="21" width="8.83984375" style="37"/>
    <col min="22" max="25" width="8.9453125" style="37" bestFit="1" customWidth="1"/>
    <col min="26" max="26" width="8.83984375" style="37"/>
    <col min="27" max="29" width="8.9453125" style="37" bestFit="1" customWidth="1"/>
    <col min="30" max="30" width="8.83984375" style="37"/>
    <col min="31" max="32" width="8.9453125" style="37" bestFit="1" customWidth="1"/>
    <col min="33" max="33" width="9.20703125" style="37" bestFit="1" customWidth="1"/>
    <col min="34" max="34" width="8.83984375" style="37"/>
    <col min="35" max="37" width="8.9453125" style="37" bestFit="1" customWidth="1"/>
    <col min="38" max="39" width="8.83984375" style="37"/>
    <col min="40" max="43" width="8.9453125" style="37" bestFit="1" customWidth="1"/>
    <col min="44" max="45" width="8.83984375" style="37"/>
    <col min="46" max="46" width="9.1015625" style="37" bestFit="1" customWidth="1"/>
    <col min="47" max="48" width="8.9453125" style="37" bestFit="1" customWidth="1"/>
    <col min="49" max="16384" width="8.83984375" style="37"/>
  </cols>
  <sheetData>
    <row r="1" spans="1:197" s="8" customFormat="1" x14ac:dyDescent="0.55000000000000004">
      <c r="A1" s="8" t="s">
        <v>50</v>
      </c>
    </row>
    <row r="2" spans="1:197" s="29" customFormat="1" ht="14.1" x14ac:dyDescent="0.5">
      <c r="A2" s="25"/>
      <c r="B2" s="24"/>
      <c r="C2" s="24"/>
      <c r="D2" s="131"/>
      <c r="E2" s="131"/>
      <c r="F2" s="131"/>
      <c r="G2" s="27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8"/>
      <c r="BD2" s="26"/>
      <c r="BE2" s="30"/>
      <c r="BF2" s="30"/>
      <c r="BG2" s="26"/>
      <c r="BH2" s="26"/>
      <c r="BI2" s="26"/>
    </row>
    <row r="3" spans="1:197" s="121" customFormat="1" x14ac:dyDescent="0.55000000000000004">
      <c r="A3" s="117"/>
      <c r="B3" s="92"/>
      <c r="C3" s="193" t="s">
        <v>23</v>
      </c>
      <c r="D3" s="194"/>
      <c r="E3" s="193" t="s">
        <v>0</v>
      </c>
      <c r="F3" s="194"/>
      <c r="G3" s="118"/>
      <c r="H3" s="119" t="s">
        <v>21</v>
      </c>
      <c r="I3" s="93"/>
      <c r="J3" s="150" t="s">
        <v>22</v>
      </c>
      <c r="K3" s="93"/>
      <c r="L3" s="119" t="s">
        <v>21</v>
      </c>
      <c r="M3" s="119" t="s">
        <v>21</v>
      </c>
      <c r="N3" s="119" t="s">
        <v>21</v>
      </c>
      <c r="O3" s="119" t="s">
        <v>21</v>
      </c>
      <c r="P3" s="93"/>
      <c r="Q3" s="119" t="s">
        <v>21</v>
      </c>
      <c r="R3" s="119" t="s">
        <v>21</v>
      </c>
      <c r="S3" s="119" t="s">
        <v>21</v>
      </c>
      <c r="T3" s="119" t="s">
        <v>21</v>
      </c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120"/>
      <c r="BB3" s="93"/>
      <c r="BC3" s="122"/>
      <c r="BD3" s="122"/>
      <c r="BE3" s="93"/>
      <c r="BF3" s="93"/>
      <c r="BG3" s="93"/>
    </row>
    <row r="4" spans="1:197" s="97" customFormat="1" x14ac:dyDescent="0.55000000000000004">
      <c r="A4" s="123" t="s">
        <v>69</v>
      </c>
      <c r="B4" s="126" t="s">
        <v>19</v>
      </c>
      <c r="C4" s="132" t="s">
        <v>229</v>
      </c>
      <c r="D4" s="140" t="s">
        <v>18</v>
      </c>
      <c r="E4" s="146" t="s">
        <v>229</v>
      </c>
      <c r="F4" s="140" t="s">
        <v>18</v>
      </c>
      <c r="H4" s="124" t="s">
        <v>24</v>
      </c>
      <c r="J4" s="151" t="s">
        <v>25</v>
      </c>
      <c r="L4" s="124" t="s">
        <v>51</v>
      </c>
      <c r="M4" s="124" t="s">
        <v>26</v>
      </c>
      <c r="N4" s="124" t="s">
        <v>52</v>
      </c>
      <c r="O4" s="124" t="s">
        <v>27</v>
      </c>
      <c r="Q4" s="124" t="s">
        <v>53</v>
      </c>
      <c r="R4" s="124" t="s">
        <v>28</v>
      </c>
      <c r="S4" s="124" t="s">
        <v>29</v>
      </c>
      <c r="T4" s="124" t="s">
        <v>30</v>
      </c>
      <c r="V4" s="97" t="s">
        <v>31</v>
      </c>
      <c r="W4" s="97" t="s">
        <v>32</v>
      </c>
      <c r="X4" s="97" t="s">
        <v>33</v>
      </c>
      <c r="Y4" s="97" t="s">
        <v>34</v>
      </c>
      <c r="AA4" s="97" t="s">
        <v>35</v>
      </c>
      <c r="AB4" s="97" t="s">
        <v>36</v>
      </c>
      <c r="AC4" s="97" t="s">
        <v>37</v>
      </c>
      <c r="AE4" s="97" t="s">
        <v>38</v>
      </c>
      <c r="AF4" s="97" t="s">
        <v>39</v>
      </c>
      <c r="AG4" s="97" t="s">
        <v>40</v>
      </c>
      <c r="AI4" s="97" t="s">
        <v>41</v>
      </c>
      <c r="AJ4" s="97" t="s">
        <v>42</v>
      </c>
      <c r="AK4" s="97" t="s">
        <v>43</v>
      </c>
      <c r="AN4" s="97" t="s">
        <v>44</v>
      </c>
      <c r="AO4" s="97" t="s">
        <v>45</v>
      </c>
      <c r="AP4" s="97" t="s">
        <v>46</v>
      </c>
      <c r="AQ4" s="97" t="s">
        <v>47</v>
      </c>
      <c r="AT4" s="97" t="s">
        <v>48</v>
      </c>
      <c r="AU4" s="97" t="s">
        <v>49</v>
      </c>
      <c r="AV4" s="97" t="s">
        <v>25</v>
      </c>
      <c r="BA4" s="125"/>
      <c r="BC4" s="123"/>
    </row>
    <row r="5" spans="1:197" s="31" customFormat="1" x14ac:dyDescent="0.55000000000000004">
      <c r="B5" s="11"/>
      <c r="C5" s="133"/>
      <c r="D5" s="67"/>
      <c r="E5" s="65"/>
      <c r="F5" s="67"/>
      <c r="H5" s="23"/>
      <c r="J5" s="59"/>
      <c r="L5" s="50"/>
      <c r="M5" s="50"/>
      <c r="N5" s="50"/>
      <c r="O5" s="50"/>
      <c r="Q5" s="50"/>
      <c r="R5" s="50"/>
      <c r="S5" s="50"/>
      <c r="T5" s="50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</row>
    <row r="6" spans="1:197" x14ac:dyDescent="0.55000000000000004">
      <c r="A6" s="37" t="s">
        <v>151</v>
      </c>
      <c r="B6" s="47" t="s">
        <v>204</v>
      </c>
      <c r="C6" s="79" t="s">
        <v>207</v>
      </c>
      <c r="D6" s="158" t="s">
        <v>206</v>
      </c>
      <c r="E6" s="147" t="s">
        <v>218</v>
      </c>
      <c r="F6" s="158" t="s">
        <v>362</v>
      </c>
      <c r="H6" s="32">
        <v>7130</v>
      </c>
      <c r="J6" s="94">
        <f t="shared" ref="J6:J16" si="0">AV6</f>
        <v>596.80541652795762</v>
      </c>
      <c r="K6" s="35"/>
      <c r="L6" s="23">
        <v>2.4209999999999998</v>
      </c>
      <c r="M6" s="23">
        <v>1.97</v>
      </c>
      <c r="N6" s="23">
        <v>3.6469999999999998</v>
      </c>
      <c r="O6" s="23">
        <v>0.30399999999999999</v>
      </c>
      <c r="P6" s="33"/>
      <c r="Q6" s="23">
        <v>2.3420000000000001</v>
      </c>
      <c r="R6" s="23">
        <v>0.30199999999999999</v>
      </c>
      <c r="S6" s="23">
        <v>0.248</v>
      </c>
      <c r="T6" s="23">
        <v>0.129</v>
      </c>
      <c r="U6" s="33"/>
      <c r="V6" s="48">
        <f>Q6*0.97/(Q6*0.97+R6+S6+T6)</f>
        <v>0.76988823142669294</v>
      </c>
      <c r="W6" s="33">
        <f>R6/(Q6*0.97+R6+S6+T6)</f>
        <v>0.10234720781905556</v>
      </c>
      <c r="X6" s="48">
        <f>S6/(Q6*0.97+R6+S6+T6)</f>
        <v>8.4046713705714496E-2</v>
      </c>
      <c r="Y6" s="48">
        <f>T6/(Q6*0.97+R6+S6+T6)</f>
        <v>4.3717847048536977E-2</v>
      </c>
      <c r="Z6" s="48"/>
      <c r="AA6" s="48">
        <f>5.993*W6*W6-9.67*X6*X6-11.006*V6*W6+0.674*V6*X6-9.5725*W6*X6-22.765*W6*Y6-4.6665*X6*Y6+11.006*V6*V6*W6-0.674*V6*V6*X6-11.986*W6*W6*V6+37.966*W6*W6*X6+46.02*W6*W6*Y6+19.34*X6*X6*V6+25.746*X6*X6*W6+46.02*Y6*Y6*W6+19.145*V6*W6*X6+45.53*V6*W6*Y6+9.333*V6*X6*Y6+77.876*W6*X6*Y6</f>
        <v>3.3545526833958991E-2</v>
      </c>
      <c r="AB6" s="48">
        <f>-0.034*W6*W6+0.135*X6*X6+0.024*Y6*Y6+0.1*V6*W6+0.08*V6*X6+0.048*V6*Y6-0.0515*W6*X6+0.07*W6*Y6+0.1765*X6*Y6-0.1*V6*V6*W6-0.08*V6*V6*X6-0.048*V6*V6*Y6+0.068*W6*W6*V6-0.136*W6*W6*X6-0.076*W6*W6*Y6-0.27*X6*X6*V6-0.28*X6*X6*W6-0.13*X6*X6*Y6-0.048*Y6*Y6*V6-0.076*Y6*Y6*W6-0.13*Y6*Y6*X6+0.103*V6*W6*X6-0.14*V6*W6*Y6-0.353*V6*X6*Y6-0.414*W6*X6*Y6</f>
        <v>2.1603216777417336E-3</v>
      </c>
      <c r="AC6" s="48">
        <f>-5672*W6*W6+19932*X6*X6+1617*Y6*Y6+23244*V6*W6-2608*V6*X6+3234*V6*Y6+31326.5*W6*X6+45841*W6*Y6+12356*X6*Y6-23244*V6*V6*W6+2608*V6*V6*X6-3234*V6*V6*Y6+11344*W6*W6*V6-132228*W6*W6*X6-82498*W6*W6*Y6-39864*X6*X6*V6-51518*X6*X6*W6-2850*X6*X6*Y6-3234*Y6*Y6*V6-82498*Y6*Y6*W6-2850*Y6*Y6*X6-62653*V6*W6*X6-91682*V6*W6*Y6-24712*V6*X6*Y6-177221*W6*X6*Y6</f>
        <v>-194.15498409241837</v>
      </c>
      <c r="AD6" s="48"/>
      <c r="AE6" s="48">
        <f>-5.503*V6*V6-12.873*X6*X6-23.01*Y6*Y6+11.986*V6*W6-9.5725*V6*X6-22.765*V6*Y6-37.966*W6*X6-46.02*W6*Y6-38.938*X6*Y6+11.006*V6*V6*W6-0.674*V6*V6*X6-11.986*W6*W6*V6+37.966*W6*W6*X6+46.02*W6*W6*Y6+19.34*X6*X6*V6+25.746*X6*X6*W6+46.02*Y6*Y6*W6+19.145*V6*W6*X6+45.53*V6*W6*Y6+9.333*V6*X6*Y6+77.876*W6*X6*Y6</f>
        <v>-3.4493939620527576</v>
      </c>
      <c r="AF6" s="48">
        <f>0.05*V6*V6+0.14*X6*X6+0.038*Y6*Y6-0.068*V6*W6-0.0515*V6*X6+0.07*V6*Y6+0.136*W6*X6+0.076*W6*Y6+0.207*X6*Y6-0.1*V6*V6*W6-0.08*V6*V6*X6-0.048*V6*V6*Y6+0.068*W6*W6*V6-0.136*W6*W6*X6-0.076*W6*W6*Y6-0.27*X6*X6*V6-0.28*X6*X6*W6-0.13*X6*X6*Y6-0.048*Y6*Y6*V6-0.076*Y6*Y6*W6-0.13*Y6*Y6*X6+0.103*V6*W6*X6-0.14*V6*W6*Y6-0.353*V6*X6*Y6-0.414*W6*X6*Y6</f>
        <v>1.2960565079418838E-2</v>
      </c>
      <c r="AG6" s="48">
        <f>11622*V6*V6+25759*X6*X6+41249*Y6*Y6-11344*V6*W6+31326.5*V6*X6+45841*V6*Y6+132228*W6*X6+82498*W6*Y6+88610.5*X6*Y6-23244*V6*V6*W6+2608*V6*V6*X6-3234*V6*V6*Y6+11344*W6*W6*V6-132228*W6*W6*X6-82498*W6*W6*Y6-39864*X6*X6*V6-51518*X6*X6*W6-2850*X6*X6*Y6-3234*Y6*Y6*V6-82498*Y6*Y6*W6-2850*Y6*Y6*X6-62653*V6*W6*X6-91682*V6*W6*Y6-24712*V6*X6*Y6-177221*W6*X6*Y6</f>
        <v>9087.4552150053369</v>
      </c>
      <c r="AH6" s="33"/>
      <c r="AI6" s="48">
        <f>0.337*V6*V6-18.983*W6*W6-9.5725*V6*W6-19.34*V6*X6-4.6665*V6*Y6-25.746*W6*X6-38.938*W6*Y6+11.006*V6*V6*W6-0.674*V6*V6*X6-11.986*W6*W6*V6+37.966*W6*W6*X6+46.02*W6*W6*Y6+19.34*X6*X6*V6+25.746*X6*X6*W6+46.02*Y6*Y6*W6+19.145*V6*W6*X6+45.53*V6*W6*Y6+9.333*V6*X6*Y6+77.876*W6*X6*Y6</f>
        <v>-1.4935097049306452</v>
      </c>
      <c r="AJ6" s="48">
        <f>0.04*V6*V6+0.068*W6*W6+0.065*Y6*Y6-0.0515*V6*W6+0.27*V6*X6+0.1765*V6*Y6+0.28*W6*X6+0.207*W6*Y6+0.13*X6*Y6-0.1*V6*V6*W6-0.08*V6*V6*X6-0.048*V6*V6*Y6+0.068*W6*W6*V6-0.136*W6*W6*X6-0.076*W6*W6*Y6-0.27*X6*X6*V6-0.28*X6*X6*W6-0.13*X6*X6*Y6-0.048*Y6*Y6*V6-0.076*Y6*Y6*W6-0.13*Y6*Y6*X6+0.103*V6*W6*X6-0.14*V6*W6*Y6-0.353*V6*X6*Y6-0.414*W6*X6*Y6</f>
        <v>3.4038008245765028E-2</v>
      </c>
      <c r="AK6" s="48">
        <f>-1304*V6*V6+66114*W6*W6+1425*Y6*Y6+31326.5*V6*W6+39864*V6*X6+12356*V6*Y6+51518*W6*X6+88610.5*W6*Y6+2850*X6*Y6-23244*V6*V6*W6+2608*V6*V6*X6-3234*V6*V6*Y6+11344*W6*W6*V6-132228*W6*W6*X6-82498*W6*W6*Y6-39864*X6*X6*V6-51518*X6*X6*W6-2850*X6*X6*Y6-3234*Y6*Y6*V6-82498*Y6*Y6*W6-2850*Y6*Y6*X6-62653*V6*W6*X6-91682*V6*W6*Y6-24712*V6*X6*Y6-177221*W6*X6*Y6</f>
        <v>3665.9574008313925</v>
      </c>
      <c r="AL6" s="33"/>
      <c r="AM6" s="33"/>
      <c r="AN6" s="48">
        <f t="shared" ref="AN6:AN15" si="1">L6*0.884/(L6*0.884+M6+N6+O6)</f>
        <v>0.26549069092255162</v>
      </c>
      <c r="AO6" s="48">
        <f t="shared" ref="AO6:AO15" si="2">M6/(L6*0.884+M6+N6+O6)</f>
        <v>0.24438158062532905</v>
      </c>
      <c r="AP6" s="48">
        <f t="shared" ref="AP6:AP15" si="3">N6/(L6*0.884+M6+N6+O6)</f>
        <v>0.45241605306628174</v>
      </c>
      <c r="AQ6" s="48">
        <f t="shared" ref="AQ6:AQ15" si="4">O6/(L6*0.884+M6+N6+O6)</f>
        <v>3.7711675385837577E-2</v>
      </c>
      <c r="AR6" s="33"/>
      <c r="AS6" s="48"/>
      <c r="AT6" s="33">
        <f t="shared" ref="AT6:AT16" si="5">40198+(0.295-(AB6-AF6))*H6-(AC6-AG6)+22998*(AO6-AN6)+245559*AP6+310990*AQ6</f>
        <v>173997.28611908091</v>
      </c>
      <c r="AU6" s="33">
        <f t="shared" ref="AU6:AU16" si="6">7.802+3*8.3144*LN((V6/W6)/(AN6/AO6))+(AA6-AE6)+17.396*(AO6-AN6)+280.396*AP6+370.39*AQ6</f>
        <v>200.00713003605878</v>
      </c>
      <c r="AV6" s="35">
        <f>AT6/AU6-273.15</f>
        <v>596.80541652795762</v>
      </c>
      <c r="AW6" s="33"/>
      <c r="AX6" s="35"/>
      <c r="AY6" s="33"/>
      <c r="AZ6" s="33"/>
      <c r="BA6" s="33"/>
      <c r="BB6" s="49"/>
      <c r="BD6" s="33"/>
      <c r="BE6" s="36"/>
      <c r="BF6" s="36"/>
      <c r="BG6" s="33"/>
      <c r="BH6" s="33"/>
      <c r="BI6" s="38"/>
    </row>
    <row r="7" spans="1:197" x14ac:dyDescent="0.55000000000000004">
      <c r="B7" s="37"/>
      <c r="C7" s="79" t="s">
        <v>208</v>
      </c>
      <c r="D7" s="158" t="s">
        <v>230</v>
      </c>
      <c r="E7" s="147" t="s">
        <v>219</v>
      </c>
      <c r="F7" s="158" t="s">
        <v>239</v>
      </c>
      <c r="H7" s="32">
        <v>7130</v>
      </c>
      <c r="J7" s="94">
        <f t="shared" si="0"/>
        <v>604.47725755436386</v>
      </c>
      <c r="K7" s="35"/>
      <c r="L7" s="23">
        <v>2.4249999999999998</v>
      </c>
      <c r="M7" s="23">
        <v>1.984</v>
      </c>
      <c r="N7" s="23">
        <v>3.621</v>
      </c>
      <c r="O7" s="23">
        <v>0.30299999999999999</v>
      </c>
      <c r="P7" s="33"/>
      <c r="Q7" s="23">
        <v>2.3519999999999999</v>
      </c>
      <c r="R7" s="23">
        <v>0.33100000000000002</v>
      </c>
      <c r="S7" s="23">
        <v>0.23699999999999999</v>
      </c>
      <c r="T7" s="23">
        <v>0.11899999999999999</v>
      </c>
      <c r="U7" s="33"/>
      <c r="V7" s="48">
        <f>Q7*0.97/(Q7*0.97+R7+S7+T7)</f>
        <v>0.76856530702995507</v>
      </c>
      <c r="W7" s="33">
        <f>R7/(Q7*0.97+R7+S7+T7)</f>
        <v>0.11150638045572758</v>
      </c>
      <c r="X7" s="48">
        <f>S7/(Q7*0.97+R7+S7+T7)</f>
        <v>7.9839915915430312E-2</v>
      </c>
      <c r="Y7" s="48">
        <f>T7/(Q7*0.97+R7+S7+T7)</f>
        <v>4.0088396598886952E-2</v>
      </c>
      <c r="Z7" s="48"/>
      <c r="AA7" s="48">
        <f>5.993*W7*W7-9.67*X7*X7-11.006*V7*W7+0.674*V7*X7-9.5725*W7*X7-22.765*W7*Y7-4.6665*X7*Y7+11.006*V7*V7*W7-0.674*V7*V7*X7-11.986*W7*W7*V7+37.966*W7*W7*X7+46.02*W7*W7*Y7+19.34*X7*X7*V7+25.746*X7*X7*W7+46.02*Y7*Y7*W7+19.145*V7*W7*X7+45.53*V7*W7*Y7+9.333*V7*X7*Y7+77.876*W7*X7*Y7</f>
        <v>7.7884168854005544E-3</v>
      </c>
      <c r="AB7" s="48">
        <f>-0.034*W7*W7+0.135*X7*X7+0.024*Y7*Y7+0.1*V7*W7+0.08*V7*X7+0.048*V7*Y7-0.0515*W7*X7+0.07*W7*Y7+0.1765*X7*Y7-0.1*V7*V7*W7-0.08*V7*V7*X7-0.048*V7*V7*Y7+0.068*W7*W7*V7-0.136*W7*W7*X7-0.076*W7*W7*Y7-0.27*X7*X7*V7-0.28*X7*X7*W7-0.13*X7*X7*Y7-0.048*Y7*Y7*V7-0.076*Y7*Y7*W7-0.13*Y7*Y7*X7+0.103*V7*W7*X7-0.14*V7*W7*Y7-0.353*V7*X7*Y7-0.414*W7*X7*Y7</f>
        <v>2.3974760995643762E-3</v>
      </c>
      <c r="AC7" s="48">
        <f>-5672*W7*W7+19932*X7*X7+1617*Y7*Y7+23244*V7*W7-2608*V7*X7+3234*V7*Y7+31326.5*W7*X7+45841*W7*Y7+12356*X7*Y7-23244*V7*V7*W7+2608*V7*V7*X7-3234*V7*V7*Y7+11344*W7*W7*V7-132228*W7*W7*X7-82498*W7*W7*Y7-39864*X7*X7*V7-51518*X7*X7*W7-2850*X7*X7*Y7-3234*Y7*Y7*V7-82498*Y7*Y7*W7-2850*Y7*Y7*X7-62653*V7*W7*X7-91682*V7*W7*Y7-24712*V7*X7*Y7-177221*W7*X7*Y7</f>
        <v>-153.95360594004705</v>
      </c>
      <c r="AD7" s="48"/>
      <c r="AE7" s="48">
        <f>-5.503*V7*V7-12.873*X7*X7-23.01*Y7*Y7+11.986*V7*W7-9.5725*V7*X7-22.765*V7*Y7-37.966*W7*X7-46.02*W7*Y7-38.938*X7*Y7+11.006*V7*V7*W7-0.674*V7*V7*X7-11.986*W7*W7*V7+37.966*W7*W7*X7+46.02*W7*W7*Y7+19.34*X7*X7*V7+25.746*X7*X7*W7+46.02*Y7*Y7*W7+19.145*V7*W7*X7+45.53*V7*W7*Y7+9.333*V7*X7*Y7+77.876*W7*X7*Y7</f>
        <v>-3.2008625765793908</v>
      </c>
      <c r="AF7" s="48">
        <f>0.05*V7*V7+0.14*X7*X7+0.038*Y7*Y7-0.068*V7*W7-0.0515*V7*X7+0.07*V7*Y7+0.136*W7*X7+0.076*W7*Y7+0.207*X7*Y7-0.1*V7*V7*W7-0.08*V7*V7*X7-0.048*V7*V7*Y7+0.068*W7*W7*V7-0.136*W7*W7*X7-0.076*W7*W7*Y7-0.27*X7*X7*V7-0.28*X7*X7*W7-0.13*X7*X7*Y7-0.048*Y7*Y7*V7-0.076*Y7*Y7*W7-0.13*Y7*Y7*X7+0.103*V7*W7*X7-0.14*V7*W7*Y7-0.353*V7*X7*Y7-0.414*W7*X7*Y7</f>
        <v>1.2414028125027515E-2</v>
      </c>
      <c r="AG7" s="48">
        <f>11622*V7*V7+25759*X7*X7+41249*Y7*Y7-11344*V7*W7+31326.5*V7*X7+45841*V7*Y7+132228*W7*X7+82498*W7*Y7+88610.5*X7*Y7-23244*V7*V7*W7+2608*V7*V7*X7-3234*V7*V7*Y7+11344*W7*W7*V7-132228*W7*W7*X7-82498*W7*W7*Y7-39864*X7*X7*V7-51518*X7*X7*W7-2850*X7*X7*Y7-3234*Y7*Y7*V7-82498*Y7*Y7*W7-2850*Y7*Y7*X7-62653*V7*W7*X7-91682*V7*W7*Y7-24712*V7*X7*Y7-177221*W7*X7*Y7</f>
        <v>8619.5033453855685</v>
      </c>
      <c r="AH7" s="33"/>
      <c r="AI7" s="48">
        <f>0.337*V7*V7-18.983*W7*W7-9.5725*V7*W7-19.34*V7*X7-4.6665*V7*Y7-25.746*W7*X7-38.938*W7*Y7+11.006*V7*V7*W7-0.674*V7*V7*X7-11.986*W7*W7*V7+37.966*W7*W7*X7+46.02*W7*W7*Y7+19.34*X7*X7*V7+25.746*X7*X7*W7+46.02*Y7*Y7*W7+19.145*V7*W7*X7+45.53*V7*W7*Y7+9.333*V7*X7*Y7+77.876*W7*X7*Y7</f>
        <v>-1.4924268936323699</v>
      </c>
      <c r="AJ7" s="48">
        <f>0.04*V7*V7+0.068*W7*W7+0.065*Y7*Y7-0.0515*V7*W7+0.27*V7*X7+0.1765*V7*Y7+0.28*W7*X7+0.207*W7*Y7+0.13*X7*Y7-0.1*V7*V7*W7-0.08*V7*V7*X7-0.048*V7*V7*Y7+0.068*W7*W7*V7-0.136*W7*W7*X7-0.076*W7*W7*Y7-0.27*X7*X7*V7-0.28*X7*X7*W7-0.13*X7*X7*Y7-0.048*Y7*Y7*V7-0.076*Y7*Y7*W7-0.13*Y7*Y7*X7+0.103*V7*W7*X7-0.14*V7*W7*Y7-0.353*V7*X7*Y7-0.414*W7*X7*Y7</f>
        <v>3.2547998877734324E-2</v>
      </c>
      <c r="AK7" s="48">
        <f>-1304*V7*V7+66114*W7*W7+1425*Y7*Y7+31326.5*V7*W7+39864*V7*X7+12356*V7*Y7+51518*W7*X7+88610.5*W7*Y7+2850*X7*Y7-23244*V7*V7*W7+2608*V7*V7*X7-3234*V7*V7*Y7+11344*W7*W7*V7-132228*W7*W7*X7-82498*W7*W7*Y7-39864*X7*X7*V7-51518*X7*X7*W7-2850*X7*X7*Y7-3234*Y7*Y7*V7-82498*Y7*Y7*W7-2850*Y7*Y7*X7-62653*V7*W7*X7-91682*V7*W7*Y7-24712*V7*X7*Y7-177221*W7*X7*Y7</f>
        <v>3761.399084042805</v>
      </c>
      <c r="AL7" s="33"/>
      <c r="AM7" s="33"/>
      <c r="AN7" s="48">
        <f t="shared" si="1"/>
        <v>0.26624191164598776</v>
      </c>
      <c r="AO7" s="48">
        <f t="shared" si="2"/>
        <v>0.24640759094352743</v>
      </c>
      <c r="AP7" s="48">
        <f t="shared" si="3"/>
        <v>0.44971869294683109</v>
      </c>
      <c r="AQ7" s="48">
        <f t="shared" si="4"/>
        <v>3.7631804463653634E-2</v>
      </c>
      <c r="AR7" s="33"/>
      <c r="AS7" s="48"/>
      <c r="AT7" s="33">
        <f t="shared" si="5"/>
        <v>172825.66265123454</v>
      </c>
      <c r="AU7" s="33">
        <f t="shared" si="6"/>
        <v>196.92376366344683</v>
      </c>
      <c r="AV7" s="35">
        <f>AT7/AU7-273.15</f>
        <v>604.47725755436386</v>
      </c>
      <c r="AW7" s="33"/>
      <c r="AX7" s="35"/>
      <c r="AY7" s="33"/>
      <c r="AZ7" s="33"/>
      <c r="BA7" s="33"/>
      <c r="BB7" s="49"/>
      <c r="BD7" s="33"/>
      <c r="BE7" s="36"/>
      <c r="BF7" s="36"/>
      <c r="BG7" s="33"/>
      <c r="BH7" s="33"/>
      <c r="BI7" s="38"/>
    </row>
    <row r="8" spans="1:197" x14ac:dyDescent="0.55000000000000004">
      <c r="B8" s="37"/>
      <c r="C8" s="79" t="s">
        <v>209</v>
      </c>
      <c r="D8" s="158" t="s">
        <v>231</v>
      </c>
      <c r="E8" s="147" t="s">
        <v>220</v>
      </c>
      <c r="F8" s="158" t="s">
        <v>240</v>
      </c>
      <c r="H8" s="32">
        <v>7130</v>
      </c>
      <c r="J8" s="94">
        <f t="shared" si="0"/>
        <v>606.78616101544435</v>
      </c>
      <c r="K8" s="35"/>
      <c r="L8" s="23">
        <v>2.4140000000000001</v>
      </c>
      <c r="M8" s="23">
        <v>2.028</v>
      </c>
      <c r="N8" s="23">
        <v>3.581</v>
      </c>
      <c r="O8" s="23">
        <v>0.30299999999999999</v>
      </c>
      <c r="P8" s="33"/>
      <c r="Q8" s="23">
        <v>2.359</v>
      </c>
      <c r="R8" s="23">
        <v>0.35</v>
      </c>
      <c r="S8" s="23">
        <v>0.23200000000000001</v>
      </c>
      <c r="T8" s="23">
        <v>0.109</v>
      </c>
      <c r="U8" s="33"/>
      <c r="V8" s="48">
        <f>Q8*0.97/(Q8*0.97+R8+S8+T8)</f>
        <v>0.76806087478979457</v>
      </c>
      <c r="W8" s="33">
        <f>R8/(Q8*0.97+R8+S8+T8)</f>
        <v>0.11748002000516911</v>
      </c>
      <c r="X8" s="48">
        <f>S8/(Q8*0.97+R8+S8+T8)</f>
        <v>7.7872470403426389E-2</v>
      </c>
      <c r="Y8" s="48">
        <f>T8/(Q8*0.97+R8+S8+T8)</f>
        <v>3.6586634801609806E-2</v>
      </c>
      <c r="Z8" s="48"/>
      <c r="AA8" s="48">
        <f>5.993*W8*W8-9.67*X8*X8-11.006*V8*W8+0.674*V8*X8-9.5725*W8*X8-22.765*W8*Y8-4.6665*X8*Y8+11.006*V8*V8*W8-0.674*V8*V8*X8-11.986*W8*W8*V8+37.966*W8*W8*X8+46.02*W8*W8*Y8+19.34*X8*X8*V8+25.746*X8*X8*W8+46.02*Y8*Y8*W8+19.145*V8*W8*X8+45.53*V8*W8*Y8+9.333*V8*X8*Y8+77.876*W8*X8*Y8</f>
        <v>-1.1668820674081291E-2</v>
      </c>
      <c r="AB8" s="48">
        <f>-0.034*W8*W8+0.135*X8*X8+0.024*Y8*Y8+0.1*V8*W8+0.08*V8*X8+0.048*V8*Y8-0.0515*W8*X8+0.07*W8*Y8+0.1765*X8*Y8-0.1*V8*V8*W8-0.08*V8*V8*X8-0.048*V8*V8*Y8+0.068*W8*W8*V8-0.136*W8*W8*X8-0.076*W8*W8*Y8-0.27*X8*X8*V8-0.28*X8*X8*W8-0.13*X8*X8*Y8-0.048*Y8*Y8*V8-0.076*Y8*Y8*W8-0.13*Y8*Y8*X8+0.103*V8*W8*X8-0.14*V8*W8*Y8-0.353*V8*X8*Y8-0.414*W8*X8*Y8</f>
        <v>2.5556820151655404E-3</v>
      </c>
      <c r="AC8" s="48">
        <f>-5672*W8*W8+19932*X8*X8+1617*Y8*Y8+23244*V8*W8-2608*V8*X8+3234*V8*Y8+31326.5*W8*X8+45841*W8*Y8+12356*X8*Y8-23244*V8*V8*W8+2608*V8*V8*X8-3234*V8*V8*Y8+11344*W8*W8*V8-132228*W8*W8*X8-82498*W8*W8*Y8-39864*X8*X8*V8-51518*X8*X8*W8-2850*X8*X8*Y8-3234*Y8*Y8*V8-82498*Y8*Y8*W8-2850*Y8*Y8*X8-62653*V8*W8*X8-91682*V8*W8*Y8-24712*V8*X8*Y8-177221*W8*X8*Y8</f>
        <v>-124.48465319471151</v>
      </c>
      <c r="AD8" s="48"/>
      <c r="AE8" s="48">
        <f>-5.503*V8*V8-12.873*X8*X8-23.01*Y8*Y8+11.986*V8*W8-9.5725*V8*X8-22.765*V8*Y8-37.966*W8*X8-46.02*W8*Y8-38.938*X8*Y8+11.006*V8*V8*W8-0.674*V8*V8*X8-11.986*W8*W8*V8+37.966*W8*W8*X8+46.02*W8*W8*Y8+19.34*X8*X8*V8+25.746*X8*X8*W8+46.02*Y8*Y8*W8+19.145*V8*W8*X8+45.53*V8*W8*Y8+9.333*V8*X8*Y8+77.876*W8*X8*Y8</f>
        <v>-3.026231264592401</v>
      </c>
      <c r="AF8" s="48">
        <f>0.05*V8*V8+0.14*X8*X8+0.038*Y8*Y8-0.068*V8*W8-0.0515*V8*X8+0.07*V8*Y8+0.136*W8*X8+0.076*W8*Y8+0.207*X8*Y8-0.1*V8*V8*W8-0.08*V8*V8*X8-0.048*V8*V8*Y8+0.068*W8*W8*V8-0.136*W8*W8*X8-0.076*W8*W8*Y8-0.27*X8*X8*V8-0.28*X8*X8*W8-0.13*X8*X8*Y8-0.048*Y8*Y8*V8-0.076*Y8*Y8*W8-0.13*Y8*Y8*X8+0.103*V8*W8*X8-0.14*V8*W8*Y8-0.353*V8*X8*Y8-0.414*W8*X8*Y8</f>
        <v>1.1992046944235366E-2</v>
      </c>
      <c r="AG8" s="48">
        <f>11622*V8*V8+25759*X8*X8+41249*Y8*Y8-11344*V8*W8+31326.5*V8*X8+45841*V8*Y8+132228*W8*X8+82498*W8*Y8+88610.5*X8*Y8-23244*V8*V8*W8+2608*V8*V8*X8-3234*V8*V8*Y8+11344*W8*W8*V8-132228*W8*W8*X8-82498*W8*W8*Y8-39864*X8*X8*V8-51518*X8*X8*W8-2850*X8*X8*Y8-3234*Y8*Y8*V8-82498*Y8*Y8*W8-2850*Y8*Y8*X8-62653*V8*W8*X8-91682*V8*W8*Y8-24712*V8*X8*Y8-177221*W8*X8*Y8</f>
        <v>8302.1147240298487</v>
      </c>
      <c r="AH8" s="33"/>
      <c r="AI8" s="48">
        <f>0.337*V8*V8-18.983*W8*W8-9.5725*V8*W8-19.34*V8*X8-4.6665*V8*Y8-25.746*W8*X8-38.938*W8*Y8+11.006*V8*V8*W8-0.674*V8*V8*X8-11.986*W8*W8*V8+37.966*W8*W8*X8+46.02*W8*W8*Y8+19.34*X8*X8*V8+25.746*X8*X8*W8+46.02*Y8*Y8*W8+19.145*V8*W8*X8+45.53*V8*W8*Y8+9.333*V8*X8*Y8+77.876*W8*X8*Y8</f>
        <v>-1.5019545120125348</v>
      </c>
      <c r="AJ8" s="48">
        <f>0.04*V8*V8+0.068*W8*W8+0.065*Y8*Y8-0.0515*V8*W8+0.27*V8*X8+0.1765*V8*Y8+0.28*W8*X8+0.207*W8*Y8+0.13*X8*Y8-0.1*V8*V8*W8-0.08*V8*V8*X8-0.048*V8*V8*Y8+0.068*W8*W8*V8-0.136*W8*W8*X8-0.076*W8*W8*Y8-0.27*X8*X8*V8-0.28*X8*X8*W8-0.13*X8*X8*Y8-0.048*Y8*Y8*V8-0.076*Y8*Y8*W8-0.13*Y8*Y8*X8+0.103*V8*W8*X8-0.14*V8*W8*Y8-0.353*V8*X8*Y8-0.414*W8*X8*Y8</f>
        <v>3.1590331925273586E-2</v>
      </c>
      <c r="AK8" s="48">
        <f>-1304*V8*V8+66114*W8*W8+1425*Y8*Y8+31326.5*V8*W8+39864*V8*X8+12356*V8*Y8+51518*W8*X8+88610.5*W8*Y8+2850*X8*Y8-23244*V8*V8*W8+2608*V8*V8*X8-3234*V8*V8*Y8+11344*W8*W8*V8-132228*W8*W8*X8-82498*W8*W8*Y8-39864*X8*X8*V8-51518*X8*X8*W8-2850*X8*X8*Y8-3234*Y8*Y8*V8-82498*Y8*Y8*W8-2850*Y8*Y8*X8-62653*V8*W8*X8-91682*V8*W8*Y8-24712*V8*X8*Y8-177221*W8*X8*Y8</f>
        <v>3843.2816670742732</v>
      </c>
      <c r="AL8" s="33"/>
      <c r="AM8" s="33"/>
      <c r="AN8" s="48">
        <f t="shared" si="1"/>
        <v>0.26522276477086182</v>
      </c>
      <c r="AO8" s="48">
        <f t="shared" si="2"/>
        <v>0.25205146025789782</v>
      </c>
      <c r="AP8" s="48">
        <f t="shared" si="3"/>
        <v>0.44506719880844775</v>
      </c>
      <c r="AQ8" s="48">
        <f t="shared" si="4"/>
        <v>3.7658576162792425E-2</v>
      </c>
      <c r="AR8" s="33"/>
      <c r="AS8" s="48"/>
      <c r="AT8" s="33">
        <f t="shared" si="5"/>
        <v>171494.01387105009</v>
      </c>
      <c r="AU8" s="33">
        <f t="shared" si="6"/>
        <v>194.89369964424054</v>
      </c>
      <c r="AV8" s="35">
        <f>AT8/AU8-273.15</f>
        <v>606.78616101544435</v>
      </c>
      <c r="AW8" s="33"/>
      <c r="AX8" s="35"/>
      <c r="AY8" s="33"/>
      <c r="AZ8" s="33"/>
      <c r="BA8" s="33"/>
      <c r="BB8" s="49"/>
      <c r="BD8" s="33"/>
      <c r="BE8" s="36"/>
      <c r="BF8" s="36"/>
      <c r="BG8" s="33"/>
      <c r="BH8" s="33"/>
      <c r="BI8" s="38"/>
    </row>
    <row r="9" spans="1:197" s="92" customFormat="1" x14ac:dyDescent="0.55000000000000004">
      <c r="A9" s="37"/>
      <c r="B9" s="37"/>
      <c r="C9" s="79" t="s">
        <v>210</v>
      </c>
      <c r="D9" s="158" t="s">
        <v>232</v>
      </c>
      <c r="E9" s="147" t="s">
        <v>221</v>
      </c>
      <c r="F9" s="158" t="s">
        <v>241</v>
      </c>
      <c r="H9" s="32">
        <v>7130</v>
      </c>
      <c r="I9" s="35"/>
      <c r="J9" s="94">
        <f t="shared" si="0"/>
        <v>611.43120180048197</v>
      </c>
      <c r="K9" s="35"/>
      <c r="L9" s="23">
        <v>2.4239999999999999</v>
      </c>
      <c r="M9" s="23">
        <v>2.0569999999999999</v>
      </c>
      <c r="N9" s="23">
        <v>3.5640000000000001</v>
      </c>
      <c r="O9" s="23">
        <v>0.30299999999999999</v>
      </c>
      <c r="P9" s="33"/>
      <c r="Q9" s="23">
        <v>2.3460000000000001</v>
      </c>
      <c r="R9" s="23">
        <v>0.37</v>
      </c>
      <c r="S9" s="23">
        <v>0.217</v>
      </c>
      <c r="T9" s="23">
        <v>9.9000000000000005E-2</v>
      </c>
      <c r="U9" s="33"/>
      <c r="V9" s="48">
        <f t="shared" ref="V9:V15" si="7">Q9*0.97/(Q9*0.97+R9+S9+T9)</f>
        <v>0.76837001370871338</v>
      </c>
      <c r="W9" s="33">
        <f t="shared" ref="W9:W15" si="8">R9/(Q9*0.97+R9+S9+T9)</f>
        <v>0.12493162525914869</v>
      </c>
      <c r="X9" s="48">
        <f t="shared" ref="X9:X15" si="9">S9/(Q9*0.97+R9+S9+T9)</f>
        <v>7.3270709949284502E-2</v>
      </c>
      <c r="Y9" s="48">
        <f t="shared" ref="Y9:Y15" si="10">T9/(Q9*0.97+R9+S9+T9)</f>
        <v>3.3427651082853303E-2</v>
      </c>
      <c r="Z9" s="48"/>
      <c r="AA9" s="48">
        <f t="shared" ref="AA9:AA15" si="11">5.993*W9*W9-9.67*X9*X9-11.006*V9*W9+0.674*V9*X9-9.5725*W9*X9-22.765*W9*Y9-4.6665*X9*Y9+11.006*V9*V9*W9-0.674*V9*V9*X9-11.986*W9*W9*V9+37.966*W9*W9*X9+46.02*W9*W9*Y9+19.34*X9*X9*V9+25.746*X9*X9*W9+46.02*Y9*Y9*W9+19.145*V9*W9*X9+45.53*V9*W9*Y9+9.333*V9*X9*Y9+77.876*W9*X9*Y9</f>
        <v>-3.9125780417092693E-2</v>
      </c>
      <c r="AB9" s="48">
        <f t="shared" ref="AB9:AB15" si="12">-0.034*W9*W9+0.135*X9*X9+0.024*Y9*Y9+0.1*V9*W9+0.08*V9*X9+0.048*V9*Y9-0.0515*W9*X9+0.07*W9*Y9+0.1765*X9*Y9-0.1*V9*V9*W9-0.08*V9*V9*X9-0.048*V9*V9*Y9+0.068*W9*W9*V9-0.136*W9*W9*X9-0.076*W9*W9*Y9-0.27*X9*X9*V9-0.28*X9*X9*W9-0.13*X9*X9*Y9-0.048*Y9*Y9*V9-0.076*Y9*Y9*W9-0.13*Y9*Y9*X9+0.103*V9*W9*X9-0.14*V9*W9*Y9-0.353*V9*X9*Y9-0.414*W9*X9*Y9</f>
        <v>2.7435957476907142E-3</v>
      </c>
      <c r="AC9" s="48">
        <f t="shared" ref="AC9:AC15" si="13">-5672*W9*W9+19932*X9*X9+1617*Y9*Y9+23244*V9*W9-2608*V9*X9+3234*V9*Y9+31326.5*W9*X9+45841*W9*Y9+12356*X9*Y9-23244*V9*V9*W9+2608*V9*V9*X9-3234*V9*V9*Y9+11344*W9*W9*V9-132228*W9*W9*X9-82498*W9*W9*Y9-39864*X9*X9*V9-51518*X9*X9*W9-2850*X9*X9*Y9-3234*Y9*Y9*V9-82498*Y9*Y9*W9-2850*Y9*Y9*X9-62653*V9*W9*X9-91682*V9*W9*Y9-24712*V9*X9*Y9-177221*W9*X9*Y9</f>
        <v>-77.039260055886189</v>
      </c>
      <c r="AD9" s="48"/>
      <c r="AE9" s="48">
        <f t="shared" ref="AE9:AE15" si="14">-5.503*V9*V9-12.873*X9*X9-23.01*Y9*Y9+11.986*V9*W9-9.5725*V9*X9-22.765*V9*Y9-37.966*W9*X9-46.02*W9*Y9-38.938*X9*Y9+11.006*V9*V9*W9-0.674*V9*V9*X9-11.986*W9*W9*V9+37.966*W9*W9*X9+46.02*W9*W9*Y9+19.34*X9*X9*V9+25.746*X9*X9*W9+46.02*Y9*Y9*W9+19.145*V9*W9*X9+45.53*V9*W9*Y9+9.333*V9*X9*Y9+77.876*W9*X9*Y9</f>
        <v>-2.8199621033107722</v>
      </c>
      <c r="AF9" s="48">
        <f t="shared" ref="AF9:AF15" si="15">0.05*V9*V9+0.14*X9*X9+0.038*Y9*Y9-0.068*V9*W9-0.0515*V9*X9+0.07*V9*Y9+0.136*W9*X9+0.076*W9*Y9+0.207*X9*Y9-0.1*V9*V9*W9-0.08*V9*V9*X9-0.048*V9*V9*Y9+0.068*W9*W9*V9-0.136*W9*W9*X9-0.076*W9*W9*Y9-0.27*X9*X9*V9-0.28*X9*X9*W9-0.13*X9*X9*Y9-0.048*Y9*Y9*V9-0.076*Y9*Y9*W9-0.13*Y9*Y9*X9+0.103*V9*W9*X9-0.14*V9*W9*Y9-0.353*V9*X9*Y9-0.414*W9*X9*Y9</f>
        <v>1.1687278910491273E-2</v>
      </c>
      <c r="AG9" s="48">
        <f t="shared" ref="AG9:AG15" si="16">11622*V9*V9+25759*X9*X9+41249*Y9*Y9-11344*V9*W9+31326.5*V9*X9+45841*V9*Y9+132228*W9*X9+82498*W9*Y9+88610.5*X9*Y9-23244*V9*V9*W9+2608*V9*V9*X9-3234*V9*V9*Y9+11344*W9*W9*V9-132228*W9*W9*X9-82498*W9*W9*Y9-39864*X9*X9*V9-51518*X9*X9*W9-2850*X9*X9*Y9-3234*Y9*Y9*V9-82498*Y9*Y9*W9-2850*Y9*Y9*X9-62653*V9*W9*X9-91682*V9*W9*Y9-24712*V9*X9*Y9-177221*W9*X9*Y9</f>
        <v>7896.6876011621762</v>
      </c>
      <c r="AH9" s="33"/>
      <c r="AI9" s="48">
        <f t="shared" ref="AI9:AI15" si="17">0.337*V9*V9-18.983*W9*W9-9.5725*V9*W9-19.34*V9*X9-4.6665*V9*Y9-25.746*W9*X9-38.938*W9*Y9+11.006*V9*V9*W9-0.674*V9*V9*X9-11.986*W9*W9*V9+37.966*W9*W9*X9+46.02*W9*W9*Y9+19.34*X9*X9*V9+25.746*X9*X9*W9+46.02*Y9*Y9*W9+19.145*V9*W9*X9+45.53*V9*W9*Y9+9.333*V9*X9*Y9+77.876*W9*X9*Y9</f>
        <v>-1.4912531870829002</v>
      </c>
      <c r="AJ9" s="48">
        <f t="shared" ref="AJ9:AJ15" si="18">0.04*V9*V9+0.068*W9*W9+0.065*Y9*Y9-0.0515*V9*W9+0.27*V9*X9+0.1765*V9*Y9+0.28*W9*X9+0.207*W9*Y9+0.13*X9*Y9-0.1*V9*V9*W9-0.08*V9*V9*X9-0.048*V9*V9*Y9+0.068*W9*W9*V9-0.136*W9*W9*X9-0.076*W9*W9*Y9-0.27*X9*X9*V9-0.28*X9*X9*W9-0.13*X9*X9*Y9-0.048*Y9*Y9*V9-0.076*Y9*Y9*W9-0.13*Y9*Y9*X9+0.103*V9*W9*X9-0.14*V9*W9*Y9-0.353*V9*X9*Y9-0.414*W9*X9*Y9</f>
        <v>3.0219356403691711E-2</v>
      </c>
      <c r="AK9" s="48">
        <f t="shared" ref="AK9:AK15" si="19">-1304*V9*V9+66114*W9*W9+1425*Y9*Y9+31326.5*V9*W9+39864*V9*X9+12356*V9*Y9+51518*W9*X9+88610.5*W9*Y9+2850*X9*Y9-23244*V9*V9*W9+2608*V9*V9*X9-3234*V9*V9*Y9+11344*W9*W9*V9-132228*W9*W9*X9-82498*W9*W9*Y9-39864*X9*X9*V9-51518*X9*X9*W9-2850*X9*X9*Y9-3234*Y9*Y9*V9-82498*Y9*Y9*W9-2850*Y9*Y9*X9-62653*V9*W9*X9-91682*V9*W9*Y9-24712*V9*X9*Y9-177221*W9*X9*Y9</f>
        <v>3907.7543753427922</v>
      </c>
      <c r="AL9" s="33"/>
      <c r="AM9" s="33"/>
      <c r="AN9" s="48">
        <f t="shared" si="1"/>
        <v>0.26563342959601405</v>
      </c>
      <c r="AO9" s="48">
        <f t="shared" si="2"/>
        <v>0.25499527942623207</v>
      </c>
      <c r="AP9" s="48">
        <f t="shared" si="3"/>
        <v>0.44181000285614541</v>
      </c>
      <c r="AQ9" s="48">
        <f t="shared" si="4"/>
        <v>3.7561288121608319E-2</v>
      </c>
      <c r="AR9" s="33"/>
      <c r="AS9" s="48"/>
      <c r="AT9" s="33">
        <f t="shared" si="5"/>
        <v>170265.79662885537</v>
      </c>
      <c r="AU9" s="33">
        <f t="shared" si="6"/>
        <v>192.48181657296735</v>
      </c>
      <c r="AV9" s="35">
        <f t="shared" ref="AV9:AV15" si="20">AT9/AU9-273.15</f>
        <v>611.43120180048197</v>
      </c>
      <c r="AW9" s="33"/>
      <c r="AX9" s="35"/>
      <c r="AY9" s="33"/>
      <c r="AZ9" s="33"/>
      <c r="BA9" s="34"/>
      <c r="BB9" s="34"/>
      <c r="BC9" s="34"/>
      <c r="BD9" s="33"/>
      <c r="BE9" s="36"/>
      <c r="BF9" s="37"/>
      <c r="BG9" s="33"/>
      <c r="BH9" s="33"/>
      <c r="BI9" s="38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</row>
    <row r="10" spans="1:197" x14ac:dyDescent="0.55000000000000004">
      <c r="B10" s="37"/>
      <c r="C10" s="79" t="s">
        <v>211</v>
      </c>
      <c r="D10" s="158" t="s">
        <v>233</v>
      </c>
      <c r="E10" s="147" t="s">
        <v>222</v>
      </c>
      <c r="F10" s="158" t="s">
        <v>242</v>
      </c>
      <c r="H10" s="32">
        <v>7130</v>
      </c>
      <c r="I10" s="33"/>
      <c r="J10" s="94">
        <f t="shared" si="0"/>
        <v>613.91847788723283</v>
      </c>
      <c r="K10" s="35"/>
      <c r="L10" s="23">
        <v>2.4609999999999999</v>
      </c>
      <c r="M10" s="23">
        <v>2.0750000000000002</v>
      </c>
      <c r="N10" s="23">
        <v>3.5459999999999998</v>
      </c>
      <c r="O10" s="23">
        <v>0.29399999999999998</v>
      </c>
      <c r="P10" s="33"/>
      <c r="Q10" s="23">
        <v>2.351</v>
      </c>
      <c r="R10" s="23">
        <v>0.378</v>
      </c>
      <c r="S10" s="23">
        <v>0.21099999999999999</v>
      </c>
      <c r="T10" s="23">
        <v>9.2999999999999999E-2</v>
      </c>
      <c r="U10" s="33"/>
      <c r="V10" s="48">
        <f t="shared" si="7"/>
        <v>0.76978669826192336</v>
      </c>
      <c r="W10" s="33">
        <f t="shared" si="8"/>
        <v>0.12759622882257038</v>
      </c>
      <c r="X10" s="48">
        <f t="shared" si="9"/>
        <v>7.1224349951223134E-2</v>
      </c>
      <c r="Y10" s="48">
        <f t="shared" si="10"/>
        <v>3.1392722964283186E-2</v>
      </c>
      <c r="Z10" s="48"/>
      <c r="AA10" s="48">
        <f t="shared" si="11"/>
        <v>-5.2550788163745199E-2</v>
      </c>
      <c r="AB10" s="48">
        <f t="shared" si="12"/>
        <v>2.8074149732404711E-3</v>
      </c>
      <c r="AC10" s="48">
        <f t="shared" si="13"/>
        <v>-52.951320543417758</v>
      </c>
      <c r="AD10" s="48"/>
      <c r="AE10" s="48">
        <f t="shared" si="14"/>
        <v>-2.7313906998794368</v>
      </c>
      <c r="AF10" s="48">
        <f t="shared" si="15"/>
        <v>1.1645469089771935E-2</v>
      </c>
      <c r="AG10" s="48">
        <f t="shared" si="16"/>
        <v>7722.0738094947656</v>
      </c>
      <c r="AH10" s="33"/>
      <c r="AI10" s="48">
        <f t="shared" si="17"/>
        <v>-1.4810478619188387</v>
      </c>
      <c r="AJ10" s="48">
        <f t="shared" si="18"/>
        <v>2.9625849321988723E-2</v>
      </c>
      <c r="AK10" s="48">
        <f t="shared" si="19"/>
        <v>3918.2821642481758</v>
      </c>
      <c r="AL10" s="33"/>
      <c r="AM10" s="33"/>
      <c r="AN10" s="48">
        <f t="shared" si="1"/>
        <v>0.26889778709018103</v>
      </c>
      <c r="AO10" s="48">
        <f t="shared" si="2"/>
        <v>0.25647288111375727</v>
      </c>
      <c r="AP10" s="48">
        <f t="shared" si="3"/>
        <v>0.43829052358042564</v>
      </c>
      <c r="AQ10" s="48">
        <f t="shared" si="4"/>
        <v>3.6338808215635968E-2</v>
      </c>
      <c r="AR10" s="33"/>
      <c r="AS10" s="48"/>
      <c r="AT10" s="33">
        <f t="shared" si="5"/>
        <v>168780.83111510961</v>
      </c>
      <c r="AU10" s="33">
        <f t="shared" si="6"/>
        <v>190.26809690848424</v>
      </c>
      <c r="AV10" s="35">
        <f t="shared" si="20"/>
        <v>613.91847788723283</v>
      </c>
      <c r="AW10" s="33"/>
      <c r="AX10" s="35"/>
      <c r="AY10" s="33"/>
      <c r="AZ10" s="33"/>
      <c r="BA10" s="33"/>
      <c r="BB10" s="49"/>
      <c r="BD10" s="33"/>
      <c r="BE10" s="36"/>
      <c r="BF10" s="36"/>
      <c r="BG10" s="33"/>
      <c r="BH10" s="33"/>
      <c r="BI10" s="38"/>
    </row>
    <row r="11" spans="1:197" x14ac:dyDescent="0.55000000000000004">
      <c r="B11" s="37"/>
      <c r="C11" s="79" t="s">
        <v>212</v>
      </c>
      <c r="D11" s="158" t="s">
        <v>234</v>
      </c>
      <c r="E11" s="147" t="s">
        <v>223</v>
      </c>
      <c r="F11" s="158" t="s">
        <v>243</v>
      </c>
      <c r="H11" s="32">
        <v>7130</v>
      </c>
      <c r="I11" s="33"/>
      <c r="J11" s="94">
        <f t="shared" si="0"/>
        <v>616.81336495252106</v>
      </c>
      <c r="K11" s="35"/>
      <c r="L11" s="23">
        <v>2.468</v>
      </c>
      <c r="M11" s="23">
        <v>2.1</v>
      </c>
      <c r="N11" s="23">
        <v>3.5009999999999999</v>
      </c>
      <c r="O11" s="23">
        <v>0.29399999999999998</v>
      </c>
      <c r="P11" s="33"/>
      <c r="Q11" s="23">
        <v>2.3580000000000001</v>
      </c>
      <c r="R11" s="23">
        <v>0.39500000000000002</v>
      </c>
      <c r="S11" s="23">
        <v>0.20200000000000001</v>
      </c>
      <c r="T11" s="23">
        <v>8.4000000000000005E-2</v>
      </c>
      <c r="U11" s="33"/>
      <c r="V11" s="48">
        <f t="shared" si="7"/>
        <v>0.77057265872935654</v>
      </c>
      <c r="W11" s="33">
        <f t="shared" si="8"/>
        <v>0.13307459589119552</v>
      </c>
      <c r="X11" s="48">
        <f t="shared" si="9"/>
        <v>6.8053337645624046E-2</v>
      </c>
      <c r="Y11" s="48">
        <f t="shared" si="10"/>
        <v>2.8299407733823858E-2</v>
      </c>
      <c r="Z11" s="48"/>
      <c r="AA11" s="48">
        <f t="shared" si="11"/>
        <v>-7.6301896353307669E-2</v>
      </c>
      <c r="AB11" s="48">
        <f t="shared" si="12"/>
        <v>2.9452730204317188E-3</v>
      </c>
      <c r="AC11" s="48">
        <f t="shared" si="13"/>
        <v>-11.658311804570744</v>
      </c>
      <c r="AD11" s="48"/>
      <c r="AE11" s="48">
        <f t="shared" si="14"/>
        <v>-2.5700658233252427</v>
      </c>
      <c r="AF11" s="48">
        <f t="shared" si="15"/>
        <v>1.1406770477049855E-2</v>
      </c>
      <c r="AG11" s="48">
        <f t="shared" si="16"/>
        <v>7409.0014603841073</v>
      </c>
      <c r="AH11" s="33"/>
      <c r="AI11" s="48">
        <f t="shared" si="17"/>
        <v>-1.4763984198060576</v>
      </c>
      <c r="AJ11" s="48">
        <f t="shared" si="18"/>
        <v>2.8569393129515064E-2</v>
      </c>
      <c r="AK11" s="48">
        <f t="shared" si="19"/>
        <v>3973.4140749149951</v>
      </c>
      <c r="AL11" s="33"/>
      <c r="AM11" s="33"/>
      <c r="AN11" s="48">
        <f t="shared" si="1"/>
        <v>0.27012378304438739</v>
      </c>
      <c r="AO11" s="48">
        <f t="shared" si="2"/>
        <v>0.26000679484423861</v>
      </c>
      <c r="AP11" s="48">
        <f t="shared" si="3"/>
        <v>0.43346847083318057</v>
      </c>
      <c r="AQ11" s="48">
        <f t="shared" si="4"/>
        <v>3.64009512781934E-2</v>
      </c>
      <c r="AR11" s="33"/>
      <c r="AS11" s="48"/>
      <c r="AT11" s="33">
        <f t="shared" si="5"/>
        <v>167312.0858217577</v>
      </c>
      <c r="AU11" s="33">
        <f t="shared" si="6"/>
        <v>187.99884625664754</v>
      </c>
      <c r="AV11" s="35">
        <f t="shared" si="20"/>
        <v>616.81336495252106</v>
      </c>
      <c r="AW11" s="33"/>
      <c r="AX11" s="35"/>
      <c r="AY11" s="33"/>
      <c r="AZ11" s="33"/>
      <c r="BA11" s="33"/>
      <c r="BB11" s="49"/>
      <c r="BD11" s="33"/>
      <c r="BE11" s="36"/>
      <c r="BF11" s="36"/>
      <c r="BG11" s="33"/>
      <c r="BH11" s="33"/>
      <c r="BI11" s="38"/>
    </row>
    <row r="12" spans="1:197" x14ac:dyDescent="0.55000000000000004">
      <c r="B12" s="37"/>
      <c r="C12" s="79" t="s">
        <v>213</v>
      </c>
      <c r="D12" s="158" t="s">
        <v>235</v>
      </c>
      <c r="E12" s="147" t="s">
        <v>224</v>
      </c>
      <c r="F12" s="158" t="s">
        <v>244</v>
      </c>
      <c r="H12" s="32">
        <v>7130</v>
      </c>
      <c r="I12" s="33"/>
      <c r="J12" s="94">
        <f t="shared" si="0"/>
        <v>645.69364050996455</v>
      </c>
      <c r="K12" s="35"/>
      <c r="L12" s="23">
        <v>3.0339999999999998</v>
      </c>
      <c r="M12" s="23">
        <v>2.044</v>
      </c>
      <c r="N12" s="23">
        <v>3.38</v>
      </c>
      <c r="O12" s="23">
        <v>0.28000000000000003</v>
      </c>
      <c r="P12" s="33"/>
      <c r="Q12" s="128">
        <v>2.4</v>
      </c>
      <c r="R12" s="23">
        <v>0.40500000000000003</v>
      </c>
      <c r="S12" s="23">
        <v>0.2</v>
      </c>
      <c r="T12" s="23">
        <v>7.8E-2</v>
      </c>
      <c r="U12" s="33"/>
      <c r="V12" s="48">
        <f t="shared" si="7"/>
        <v>0.77316506144138164</v>
      </c>
      <c r="W12" s="33">
        <f t="shared" si="8"/>
        <v>0.13450680836931253</v>
      </c>
      <c r="X12" s="48">
        <f t="shared" si="9"/>
        <v>6.6423115244104963E-2</v>
      </c>
      <c r="Y12" s="48">
        <f t="shared" si="10"/>
        <v>2.5905014945200932E-2</v>
      </c>
      <c r="Z12" s="48"/>
      <c r="AA12" s="48">
        <f t="shared" si="11"/>
        <v>-8.8608763736419197E-2</v>
      </c>
      <c r="AB12" s="48">
        <f t="shared" si="12"/>
        <v>2.9745227992666484E-3</v>
      </c>
      <c r="AC12" s="48">
        <f t="shared" si="13"/>
        <v>11.216509596287715</v>
      </c>
      <c r="AD12" s="48"/>
      <c r="AE12" s="48">
        <f t="shared" si="14"/>
        <v>-2.5009935804623367</v>
      </c>
      <c r="AF12" s="48">
        <f t="shared" si="15"/>
        <v>1.1474894016460867E-2</v>
      </c>
      <c r="AG12" s="48">
        <f t="shared" si="16"/>
        <v>7273.1144297762612</v>
      </c>
      <c r="AH12" s="33"/>
      <c r="AI12" s="48">
        <f t="shared" si="17"/>
        <v>-1.4614085265015535</v>
      </c>
      <c r="AJ12" s="48">
        <f t="shared" si="18"/>
        <v>2.8098229840017606E-2</v>
      </c>
      <c r="AK12" s="48">
        <f t="shared" si="19"/>
        <v>3959.9059368607168</v>
      </c>
      <c r="AL12" s="33"/>
      <c r="AM12" s="33"/>
      <c r="AN12" s="48">
        <f t="shared" si="1"/>
        <v>0.31982328760981327</v>
      </c>
      <c r="AO12" s="48">
        <f t="shared" si="2"/>
        <v>0.24373793831092955</v>
      </c>
      <c r="AP12" s="48">
        <f t="shared" si="3"/>
        <v>0.4030500154065273</v>
      </c>
      <c r="AQ12" s="48">
        <f t="shared" si="4"/>
        <v>3.3388758672730078E-2</v>
      </c>
      <c r="AR12" s="33"/>
      <c r="AS12" s="48"/>
      <c r="AT12" s="33">
        <f t="shared" si="5"/>
        <v>157230.17349662661</v>
      </c>
      <c r="AU12" s="33">
        <f t="shared" si="6"/>
        <v>171.11744214648184</v>
      </c>
      <c r="AV12" s="35">
        <f t="shared" si="20"/>
        <v>645.69364050996455</v>
      </c>
      <c r="AW12" s="33"/>
      <c r="AX12" s="35"/>
      <c r="AY12" s="33"/>
      <c r="AZ12" s="33"/>
      <c r="BA12" s="33"/>
      <c r="BB12" s="49"/>
      <c r="BD12" s="33"/>
      <c r="BE12" s="36"/>
      <c r="BF12" s="36"/>
      <c r="BG12" s="33"/>
      <c r="BH12" s="33"/>
      <c r="BI12" s="38"/>
    </row>
    <row r="13" spans="1:197" x14ac:dyDescent="0.55000000000000004">
      <c r="B13" s="37"/>
      <c r="C13" s="79" t="s">
        <v>214</v>
      </c>
      <c r="D13" s="158" t="s">
        <v>236</v>
      </c>
      <c r="E13" s="147" t="s">
        <v>225</v>
      </c>
      <c r="F13" s="158" t="s">
        <v>245</v>
      </c>
      <c r="H13" s="32">
        <v>7130</v>
      </c>
      <c r="I13" s="33"/>
      <c r="J13" s="94">
        <f t="shared" si="0"/>
        <v>622.5270519901145</v>
      </c>
      <c r="K13" s="35"/>
      <c r="L13" s="23">
        <v>2.5129999999999999</v>
      </c>
      <c r="M13" s="23">
        <v>2.1080000000000001</v>
      </c>
      <c r="N13" s="23">
        <v>3.4809999999999999</v>
      </c>
      <c r="O13" s="23">
        <v>0.28499999999999998</v>
      </c>
      <c r="P13" s="33"/>
      <c r="Q13" s="128">
        <v>2.4</v>
      </c>
      <c r="R13" s="23">
        <v>0.41899999999999998</v>
      </c>
      <c r="S13" s="23">
        <v>0.2</v>
      </c>
      <c r="T13" s="23">
        <v>7.2999999999999995E-2</v>
      </c>
      <c r="U13" s="33"/>
      <c r="V13" s="48">
        <f t="shared" si="7"/>
        <v>0.7708609271523178</v>
      </c>
      <c r="W13" s="33">
        <f t="shared" si="8"/>
        <v>0.13874172185430464</v>
      </c>
      <c r="X13" s="48">
        <f t="shared" si="9"/>
        <v>6.6225165562913912E-2</v>
      </c>
      <c r="Y13" s="48">
        <f t="shared" si="10"/>
        <v>2.4172185430463573E-2</v>
      </c>
      <c r="Z13" s="48"/>
      <c r="AA13" s="48">
        <f t="shared" si="11"/>
        <v>-0.10179724777639877</v>
      </c>
      <c r="AB13" s="48">
        <f t="shared" si="12"/>
        <v>3.0976865909506145E-3</v>
      </c>
      <c r="AC13" s="48">
        <f t="shared" si="13"/>
        <v>29.528711697029514</v>
      </c>
      <c r="AD13" s="48"/>
      <c r="AE13" s="48">
        <f t="shared" si="14"/>
        <v>-2.396685741263525</v>
      </c>
      <c r="AF13" s="48">
        <f t="shared" si="15"/>
        <v>1.1014443970012928E-2</v>
      </c>
      <c r="AG13" s="48">
        <f t="shared" si="16"/>
        <v>7092.708004162273</v>
      </c>
      <c r="AH13" s="33"/>
      <c r="AI13" s="48">
        <f t="shared" si="17"/>
        <v>-1.4906380862264665</v>
      </c>
      <c r="AJ13" s="48">
        <f t="shared" si="18"/>
        <v>2.7583909344338613E-2</v>
      </c>
      <c r="AK13" s="48">
        <f t="shared" si="19"/>
        <v>4065.3115223741943</v>
      </c>
      <c r="AL13" s="33"/>
      <c r="AM13" s="33"/>
      <c r="AN13" s="48">
        <f t="shared" si="1"/>
        <v>0.27441099317990802</v>
      </c>
      <c r="AO13" s="48">
        <f t="shared" si="2"/>
        <v>0.26039183288674733</v>
      </c>
      <c r="AP13" s="48">
        <f t="shared" si="3"/>
        <v>0.42999239576791626</v>
      </c>
      <c r="AQ13" s="48">
        <f t="shared" si="4"/>
        <v>3.5204778165428358E-2</v>
      </c>
      <c r="AR13" s="33"/>
      <c r="AS13" s="48"/>
      <c r="AT13" s="33">
        <f t="shared" si="5"/>
        <v>165635.39979819616</v>
      </c>
      <c r="AU13" s="33">
        <f t="shared" si="6"/>
        <v>184.92759128992876</v>
      </c>
      <c r="AV13" s="35">
        <f t="shared" si="20"/>
        <v>622.5270519901145</v>
      </c>
      <c r="AW13" s="33"/>
      <c r="AX13" s="35"/>
      <c r="AY13" s="33"/>
      <c r="AZ13" s="33"/>
      <c r="BA13" s="33"/>
      <c r="BB13" s="49"/>
      <c r="BD13" s="33"/>
      <c r="BE13" s="36"/>
      <c r="BF13" s="36"/>
      <c r="BG13" s="33"/>
      <c r="BH13" s="33"/>
      <c r="BI13" s="38"/>
    </row>
    <row r="14" spans="1:197" x14ac:dyDescent="0.55000000000000004">
      <c r="B14" s="37"/>
      <c r="C14" s="79" t="s">
        <v>215</v>
      </c>
      <c r="D14" s="158" t="s">
        <v>237</v>
      </c>
      <c r="E14" s="147" t="s">
        <v>226</v>
      </c>
      <c r="F14" s="158" t="s">
        <v>246</v>
      </c>
      <c r="H14" s="32">
        <v>7130</v>
      </c>
      <c r="I14" s="33"/>
      <c r="J14" s="94">
        <f t="shared" si="0"/>
        <v>621.67626858314361</v>
      </c>
      <c r="K14" s="35"/>
      <c r="L14" s="23">
        <v>2.5110000000000001</v>
      </c>
      <c r="M14" s="23">
        <v>2.1070000000000002</v>
      </c>
      <c r="N14" s="23">
        <v>3.5019999999999998</v>
      </c>
      <c r="O14" s="23">
        <v>0.28399999999999997</v>
      </c>
      <c r="P14" s="33"/>
      <c r="Q14" s="128">
        <v>2.41</v>
      </c>
      <c r="R14" s="23">
        <v>0.41899999999999998</v>
      </c>
      <c r="S14" s="23">
        <v>0.19500000000000001</v>
      </c>
      <c r="T14" s="23">
        <v>6.8000000000000005E-2</v>
      </c>
      <c r="U14" s="33"/>
      <c r="V14" s="48">
        <f t="shared" si="7"/>
        <v>0.77414974997516306</v>
      </c>
      <c r="W14" s="33">
        <f t="shared" si="8"/>
        <v>0.13875550551379276</v>
      </c>
      <c r="X14" s="48">
        <f t="shared" si="9"/>
        <v>6.4575951253435779E-2</v>
      </c>
      <c r="Y14" s="48">
        <f t="shared" si="10"/>
        <v>2.2518793257608374E-2</v>
      </c>
      <c r="Z14" s="48"/>
      <c r="AA14" s="48">
        <f t="shared" si="11"/>
        <v>-0.10979933253098886</v>
      </c>
      <c r="AB14" s="48">
        <f t="shared" si="12"/>
        <v>3.0848040718026068E-3</v>
      </c>
      <c r="AC14" s="48">
        <f t="shared" si="13"/>
        <v>46.856236329063499</v>
      </c>
      <c r="AD14" s="48"/>
      <c r="AE14" s="48">
        <f t="shared" si="14"/>
        <v>-2.36446563509889</v>
      </c>
      <c r="AF14" s="48">
        <f t="shared" si="15"/>
        <v>1.12394017810188E-2</v>
      </c>
      <c r="AG14" s="48">
        <f t="shared" si="16"/>
        <v>7018.9835721554582</v>
      </c>
      <c r="AH14" s="33"/>
      <c r="AI14" s="48">
        <f t="shared" si="17"/>
        <v>-1.464937310818591</v>
      </c>
      <c r="AJ14" s="48">
        <f t="shared" si="18"/>
        <v>2.7274297014453993E-2</v>
      </c>
      <c r="AK14" s="48">
        <f t="shared" si="19"/>
        <v>4015.4445410224039</v>
      </c>
      <c r="AL14" s="33"/>
      <c r="AM14" s="33"/>
      <c r="AN14" s="48">
        <f t="shared" si="1"/>
        <v>0.27361019553974725</v>
      </c>
      <c r="AO14" s="48">
        <f t="shared" si="2"/>
        <v>0.25971547904255093</v>
      </c>
      <c r="AP14" s="48">
        <f t="shared" si="3"/>
        <v>0.4316675878533523</v>
      </c>
      <c r="AQ14" s="48">
        <f t="shared" si="4"/>
        <v>3.5006737564349528E-2</v>
      </c>
      <c r="AR14" s="33"/>
      <c r="AS14" s="48"/>
      <c r="AT14" s="33">
        <f t="shared" si="5"/>
        <v>165898.67544830899</v>
      </c>
      <c r="AU14" s="33">
        <f t="shared" si="6"/>
        <v>185.39763669543456</v>
      </c>
      <c r="AV14" s="35">
        <f t="shared" si="20"/>
        <v>621.67626858314361</v>
      </c>
      <c r="AW14" s="33"/>
      <c r="AX14" s="35"/>
      <c r="AY14" s="33"/>
      <c r="AZ14" s="33"/>
      <c r="BA14" s="33"/>
      <c r="BB14" s="49"/>
      <c r="BD14" s="33"/>
      <c r="BE14" s="36"/>
      <c r="BF14" s="36"/>
      <c r="BG14" s="33"/>
      <c r="BH14" s="33"/>
      <c r="BI14" s="38"/>
    </row>
    <row r="15" spans="1:197" x14ac:dyDescent="0.55000000000000004">
      <c r="B15" s="37"/>
      <c r="C15" s="79" t="s">
        <v>216</v>
      </c>
      <c r="D15" s="158" t="s">
        <v>238</v>
      </c>
      <c r="E15" s="147" t="s">
        <v>227</v>
      </c>
      <c r="F15" s="158" t="s">
        <v>247</v>
      </c>
      <c r="H15" s="32">
        <v>7130</v>
      </c>
      <c r="J15" s="94">
        <f t="shared" si="0"/>
        <v>623.81665996588458</v>
      </c>
      <c r="K15" s="35"/>
      <c r="L15" s="23">
        <v>2.5009999999999999</v>
      </c>
      <c r="M15" s="23">
        <v>2.1070000000000002</v>
      </c>
      <c r="N15" s="23">
        <v>3.484</v>
      </c>
      <c r="O15" s="23">
        <v>0.28399999999999997</v>
      </c>
      <c r="P15" s="33"/>
      <c r="Q15" s="128">
        <v>2.4</v>
      </c>
      <c r="R15" s="23">
        <v>0.42799999999999999</v>
      </c>
      <c r="S15" s="23">
        <v>0.189</v>
      </c>
      <c r="T15" s="23">
        <v>6.8000000000000005E-2</v>
      </c>
      <c r="U15" s="33"/>
      <c r="V15" s="48">
        <f t="shared" si="7"/>
        <v>0.77265184201792236</v>
      </c>
      <c r="W15" s="33">
        <f t="shared" si="8"/>
        <v>0.14205111184865582</v>
      </c>
      <c r="X15" s="48">
        <f t="shared" si="9"/>
        <v>6.2728177895784928E-2</v>
      </c>
      <c r="Y15" s="48">
        <f t="shared" si="10"/>
        <v>2.2568868237636909E-2</v>
      </c>
      <c r="Z15" s="48"/>
      <c r="AA15" s="48">
        <f t="shared" si="11"/>
        <v>-0.12009082027731441</v>
      </c>
      <c r="AB15" s="48">
        <f t="shared" si="12"/>
        <v>3.1687682963196001E-3</v>
      </c>
      <c r="AC15" s="48">
        <f t="shared" si="13"/>
        <v>65.701118416713527</v>
      </c>
      <c r="AD15" s="48"/>
      <c r="AE15" s="48">
        <f t="shared" si="14"/>
        <v>-2.296740160799617</v>
      </c>
      <c r="AF15" s="48">
        <f t="shared" si="15"/>
        <v>1.1035540219159985E-2</v>
      </c>
      <c r="AG15" s="48">
        <f t="shared" si="16"/>
        <v>6877.5019442220055</v>
      </c>
      <c r="AH15" s="33"/>
      <c r="AI15" s="48">
        <f t="shared" si="17"/>
        <v>-1.4682506355440275</v>
      </c>
      <c r="AJ15" s="48">
        <f t="shared" si="18"/>
        <v>2.6745006302023179E-2</v>
      </c>
      <c r="AK15" s="48">
        <f t="shared" si="19"/>
        <v>4065.4742592339844</v>
      </c>
      <c r="AL15" s="33"/>
      <c r="AM15" s="33"/>
      <c r="AN15" s="48">
        <f t="shared" si="1"/>
        <v>0.27342514436269433</v>
      </c>
      <c r="AO15" s="48">
        <f t="shared" si="2"/>
        <v>0.2605775695026048</v>
      </c>
      <c r="AP15" s="48">
        <f t="shared" si="3"/>
        <v>0.43087434843240391</v>
      </c>
      <c r="AQ15" s="48">
        <f t="shared" si="4"/>
        <v>3.5122937702296984E-2</v>
      </c>
      <c r="AR15" s="33"/>
      <c r="AS15" s="48"/>
      <c r="AT15" s="33">
        <f t="shared" si="5"/>
        <v>165601.72890573283</v>
      </c>
      <c r="AU15" s="33">
        <f t="shared" si="6"/>
        <v>184.62417422742487</v>
      </c>
      <c r="AV15" s="35">
        <f t="shared" si="20"/>
        <v>623.81665996588458</v>
      </c>
      <c r="AW15" s="33"/>
      <c r="AX15" s="35"/>
      <c r="AY15" s="33"/>
      <c r="AZ15" s="33"/>
      <c r="BA15" s="33"/>
      <c r="BB15" s="49"/>
      <c r="BD15" s="33"/>
      <c r="BE15" s="36"/>
      <c r="BF15" s="36"/>
      <c r="BG15" s="33"/>
      <c r="BH15" s="33"/>
      <c r="BI15" s="38"/>
    </row>
    <row r="16" spans="1:197" x14ac:dyDescent="0.55000000000000004">
      <c r="B16" s="37"/>
      <c r="C16" s="79" t="s">
        <v>217</v>
      </c>
      <c r="D16" s="158" t="s">
        <v>262</v>
      </c>
      <c r="E16" s="147" t="s">
        <v>228</v>
      </c>
      <c r="F16" s="158" t="s">
        <v>250</v>
      </c>
      <c r="H16" s="32">
        <v>7130</v>
      </c>
      <c r="J16" s="94">
        <f t="shared" si="0"/>
        <v>624.88799295301033</v>
      </c>
      <c r="K16" s="35"/>
      <c r="L16" s="23">
        <v>2.5089999999999999</v>
      </c>
      <c r="M16" s="23">
        <v>2.1040000000000001</v>
      </c>
      <c r="N16" s="23">
        <v>3.476</v>
      </c>
      <c r="O16" s="23">
        <v>0.29399999999999998</v>
      </c>
      <c r="P16" s="33"/>
      <c r="Q16" s="128">
        <v>2.4119999999999999</v>
      </c>
      <c r="R16" s="23">
        <v>0.434</v>
      </c>
      <c r="S16" s="23">
        <v>0.185</v>
      </c>
      <c r="T16" s="23">
        <v>6.3E-2</v>
      </c>
      <c r="U16" s="33"/>
      <c r="V16" s="48">
        <f t="shared" ref="V16" si="21">Q16*0.97/(Q16*0.97+R16+S16+T16)</f>
        <v>0.77429475384228419</v>
      </c>
      <c r="W16" s="33">
        <f t="shared" ref="W16" si="22">R16/(Q16*0.97+R16+S16+T16)</f>
        <v>0.1436306111912736</v>
      </c>
      <c r="X16" s="48">
        <f t="shared" ref="X16" si="23">S16/(Q16*0.97+R16+S16+T16)</f>
        <v>6.122503011609589E-2</v>
      </c>
      <c r="Y16" s="48">
        <f t="shared" ref="Y16" si="24">T16/(Q16*0.97+R16+S16+T16)</f>
        <v>2.0849604850346169E-2</v>
      </c>
      <c r="Z16" s="48"/>
      <c r="AA16" s="48">
        <f t="shared" ref="AA16" si="25">5.993*W16*W16-9.67*X16*X16-11.006*V16*W16+0.674*V16*X16-9.5725*W16*X16-22.765*W16*Y16-4.6665*X16*Y16+11.006*V16*V16*W16-0.674*V16*V16*X16-11.986*W16*W16*V16+37.966*W16*W16*X16+46.02*W16*W16*Y16+19.34*X16*X16*V16+25.746*X16*X16*W16+46.02*Y16*Y16*W16+19.145*V16*W16*X16+45.53*V16*W16*Y16+9.333*V16*X16*Y16+77.876*W16*X16*Y16</f>
        <v>-0.13138438983093575</v>
      </c>
      <c r="AB16" s="48">
        <f t="shared" ref="AB16" si="26">-0.034*W16*W16+0.135*X16*X16+0.024*Y16*Y16+0.1*V16*W16+0.08*V16*X16+0.048*V16*Y16-0.0515*W16*X16+0.07*W16*Y16+0.1765*X16*Y16-0.1*V16*V16*W16-0.08*V16*V16*X16-0.048*V16*V16*Y16+0.068*W16*W16*V16-0.136*W16*W16*X16-0.076*W16*W16*Y16-0.27*X16*X16*V16-0.28*X16*X16*W16-0.13*X16*X16*Y16-0.048*Y16*Y16*V16-0.076*Y16*Y16*W16-0.13*Y16*Y16*X16+0.103*V16*W16*X16-0.14*V16*W16*Y16-0.353*V16*X16*Y16-0.414*W16*X16*Y16</f>
        <v>3.2028183887047919E-3</v>
      </c>
      <c r="AC16" s="48">
        <f t="shared" ref="AC16" si="27">-5672*W16*W16+19932*X16*X16+1617*Y16*Y16+23244*V16*W16-2608*V16*X16+3234*V16*Y16+31326.5*W16*X16+45841*W16*Y16+12356*X16*Y16-23244*V16*V16*W16+2608*V16*V16*X16-3234*V16*V16*Y16+11344*W16*W16*V16-132228*W16*W16*X16-82498*W16*W16*Y16-39864*X16*X16*V16-51518*X16*X16*W16-2850*X16*X16*Y16-3234*Y16*Y16*V16-82498*Y16*Y16*W16-2850*Y16*Y16*X16-62653*V16*W16*X16-91682*V16*W16*Y16-24712*V16*X16*Y16-177221*W16*X16*Y16</f>
        <v>86.88773693951515</v>
      </c>
      <c r="AD16" s="48"/>
      <c r="AE16" s="48">
        <f t="shared" ref="AE16" si="28">-5.503*V16*V16-12.873*X16*X16-23.01*Y16*Y16+11.986*V16*W16-9.5725*V16*X16-22.765*V16*Y16-37.966*W16*X16-46.02*W16*Y16-38.938*X16*Y16+11.006*V16*V16*W16-0.674*V16*V16*X16-11.986*W16*W16*V16+37.966*W16*W16*X16+46.02*W16*W16*Y16+19.34*X16*X16*V16+25.746*X16*X16*W16+46.02*Y16*Y16*W16+19.145*V16*W16*X16+45.53*V16*W16*Y16+9.333*V16*X16*Y16+77.876*W16*X16*Y16</f>
        <v>-2.2355930488257876</v>
      </c>
      <c r="AF16" s="48">
        <f t="shared" ref="AF16" si="29">0.05*V16*V16+0.14*X16*X16+0.038*Y16*Y16-0.068*V16*W16-0.0515*V16*X16+0.07*V16*Y16+0.136*W16*X16+0.076*W16*Y16+0.207*X16*Y16-0.1*V16*V16*W16-0.08*V16*V16*X16-0.048*V16*V16*Y16+0.068*W16*W16*V16-0.136*W16*W16*X16-0.076*W16*W16*Y16-0.27*X16*X16*V16-0.28*X16*X16*W16-0.13*X16*X16*Y16-0.048*Y16*Y16*V16-0.076*Y16*Y16*W16-0.13*Y16*Y16*X16+0.103*V16*W16*X16-0.14*V16*W16*Y16-0.353*V16*X16*Y16-0.414*W16*X16*Y16</f>
        <v>1.1048970015545247E-2</v>
      </c>
      <c r="AG16" s="48">
        <f t="shared" ref="AG16" si="30">11622*V16*V16+25759*X16*X16+41249*Y16*Y16-11344*V16*W16+31326.5*V16*X16+45841*V16*Y16+132228*W16*X16+82498*W16*Y16+88610.5*X16*Y16-23244*V16*V16*W16+2608*V16*V16*X16-3234*V16*V16*Y16+11344*W16*W16*V16-132228*W16*W16*X16-82498*W16*W16*Y16-39864*X16*X16*V16-51518*X16*X16*W16-2850*X16*X16*Y16-3234*Y16*Y16*V16-82498*Y16*Y16*W16-2850*Y16*Y16*X16-62653*V16*W16*X16-91682*V16*W16*Y16-24712*V16*X16*Y16-177221*W16*X16*Y16</f>
        <v>6755.0840831812311</v>
      </c>
      <c r="AH16" s="33"/>
      <c r="AI16" s="48">
        <f t="shared" ref="AI16" si="31">0.337*V16*V16-18.983*W16*W16-9.5725*V16*W16-19.34*V16*X16-4.6665*V16*Y16-25.746*W16*X16-38.938*W16*Y16+11.006*V16*V16*W16-0.674*V16*V16*X16-11.986*W16*W16*V16+37.966*W16*W16*X16+46.02*W16*W16*Y16+19.34*X16*X16*V16+25.746*X16*X16*W16+46.02*Y16*Y16*W16+19.145*V16*W16*X16+45.53*V16*W16*Y16+9.333*V16*X16*Y16+77.876*W16*X16*Y16</f>
        <v>-1.4577442728415606</v>
      </c>
      <c r="AJ16" s="48">
        <f t="shared" ref="AJ16" si="32">0.04*V16*V16+0.068*W16*W16+0.065*Y16*Y16-0.0515*V16*W16+0.27*V16*X16+0.1765*V16*Y16+0.28*W16*X16+0.207*W16*Y16+0.13*X16*Y16-0.1*V16*V16*W16-0.08*V16*V16*X16-0.048*V16*V16*Y16+0.068*W16*W16*V16-0.136*W16*W16*X16-0.076*W16*W16*Y16-0.27*X16*X16*V16-0.28*X16*X16*W16-0.13*X16*X16*Y16-0.048*Y16*Y16*V16-0.076*Y16*Y16*W16-0.13*Y16*Y16*X16+0.103*V16*W16*X16-0.14*V16*W16*Y16-0.353*V16*X16*Y16-0.414*W16*X16*Y16</f>
        <v>2.6299140656836927E-2</v>
      </c>
      <c r="AK16" s="48">
        <f t="shared" ref="AK16" si="33">-1304*V16*V16+66114*W16*W16+1425*Y16*Y16+31326.5*V16*W16+39864*V16*X16+12356*V16*Y16+51518*W16*X16+88610.5*W16*Y16+2850*X16*Y16-23244*V16*V16*W16+2608*V16*V16*X16-3234*V16*V16*Y16+11344*W16*W16*V16-132228*W16*W16*X16-82498*W16*W16*Y16-39864*X16*X16*V16-51518*X16*X16*W16-2850*X16*X16*Y16-3234*Y16*Y16*V16-82498*Y16*Y16*W16-2850*Y16*Y16*X16-62653*V16*W16*X16-91682*V16*W16*Y16-24712*V16*X16*Y16-177221*W16*X16*Y16</f>
        <v>4064.3054219049554</v>
      </c>
      <c r="AL16" s="33"/>
      <c r="AM16" s="33"/>
      <c r="AN16" s="48">
        <f t="shared" ref="AN16" si="34">L16*0.884/(L16*0.884+M16+N16+O16)</f>
        <v>0.27409392735205185</v>
      </c>
      <c r="AO16" s="48">
        <f t="shared" ref="AO16" si="35">M16/(L16*0.884+M16+N16+O16)</f>
        <v>0.26001130011087559</v>
      </c>
      <c r="AP16" s="48">
        <f t="shared" ref="AP16" si="36">N16/(L16*0.884+M16+N16+O16)</f>
        <v>0.42956239505009669</v>
      </c>
      <c r="AQ16" s="48">
        <f t="shared" ref="AQ16" si="37">O16/(L16*0.884+M16+N16+O16)</f>
        <v>3.6332377486975952E-2</v>
      </c>
      <c r="AR16" s="33"/>
      <c r="AS16" s="48"/>
      <c r="AT16" s="33">
        <f t="shared" si="5"/>
        <v>165483.53538682987</v>
      </c>
      <c r="AU16" s="33">
        <f t="shared" si="6"/>
        <v>184.2723099528026</v>
      </c>
      <c r="AV16" s="35">
        <f t="shared" ref="AV16" si="38">AT16/AU16-273.15</f>
        <v>624.88799295301033</v>
      </c>
      <c r="AW16" s="33"/>
      <c r="AX16" s="35"/>
      <c r="AY16" s="33"/>
      <c r="AZ16" s="33"/>
      <c r="BA16" s="33"/>
      <c r="BB16" s="49"/>
      <c r="BD16" s="33"/>
      <c r="BE16" s="36"/>
      <c r="BF16" s="36"/>
      <c r="BG16" s="33"/>
      <c r="BH16" s="33"/>
      <c r="BI16" s="38"/>
    </row>
    <row r="17" spans="1:61" s="81" customFormat="1" x14ac:dyDescent="0.55000000000000004">
      <c r="C17" s="134"/>
      <c r="D17" s="78"/>
      <c r="E17" s="79"/>
      <c r="F17" s="129"/>
      <c r="H17" s="119"/>
      <c r="I17" s="81" t="s">
        <v>59</v>
      </c>
      <c r="J17" s="152">
        <f>AVERAGE(J7:J16)</f>
        <v>619.20280772121612</v>
      </c>
      <c r="K17" s="53"/>
      <c r="L17" s="23"/>
      <c r="M17" s="23"/>
      <c r="N17" s="23"/>
      <c r="O17" s="23"/>
      <c r="P17" s="98"/>
      <c r="Q17" s="23"/>
      <c r="R17" s="23"/>
      <c r="S17" s="23"/>
      <c r="T17" s="23"/>
      <c r="U17" s="98"/>
      <c r="V17" s="99"/>
      <c r="W17" s="98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8"/>
      <c r="AI17" s="99"/>
      <c r="AJ17" s="99"/>
      <c r="AK17" s="99"/>
      <c r="AL17" s="98"/>
      <c r="AM17" s="98"/>
      <c r="AN17" s="99"/>
      <c r="AO17" s="99"/>
      <c r="AP17" s="99"/>
      <c r="AQ17" s="99"/>
      <c r="AR17" s="98"/>
      <c r="AS17" s="99"/>
      <c r="AT17" s="98"/>
      <c r="AU17" s="98"/>
      <c r="AV17" s="53"/>
      <c r="AW17" s="98"/>
      <c r="AX17" s="53"/>
      <c r="AY17" s="98"/>
      <c r="AZ17" s="98"/>
      <c r="BA17" s="98"/>
      <c r="BB17" s="100"/>
      <c r="BD17" s="98"/>
      <c r="BE17" s="101"/>
      <c r="BF17" s="101"/>
      <c r="BG17" s="98"/>
      <c r="BH17" s="98"/>
      <c r="BI17" s="102"/>
    </row>
    <row r="18" spans="1:61" x14ac:dyDescent="0.55000000000000004">
      <c r="H18" s="23"/>
      <c r="J18" s="19"/>
      <c r="L18" s="23"/>
      <c r="M18" s="23"/>
      <c r="N18" s="23"/>
      <c r="O18" s="23"/>
      <c r="Q18" s="23"/>
      <c r="R18" s="23"/>
      <c r="S18" s="23"/>
      <c r="T18" s="23"/>
    </row>
    <row r="19" spans="1:61" x14ac:dyDescent="0.55000000000000004">
      <c r="B19" s="47" t="s">
        <v>84</v>
      </c>
      <c r="C19" s="135" t="s">
        <v>152</v>
      </c>
      <c r="D19" s="158" t="s">
        <v>249</v>
      </c>
      <c r="E19" s="135" t="s">
        <v>153</v>
      </c>
      <c r="F19" s="158" t="s">
        <v>253</v>
      </c>
      <c r="H19" s="32">
        <v>8260</v>
      </c>
      <c r="J19" s="94">
        <f t="shared" ref="J19:J25" si="39">AV19</f>
        <v>661.9666367662345</v>
      </c>
      <c r="K19" s="53"/>
      <c r="L19" s="23">
        <v>2.5880000000000001</v>
      </c>
      <c r="M19" s="23">
        <v>1.925</v>
      </c>
      <c r="N19" s="23">
        <v>3.512</v>
      </c>
      <c r="O19" s="23">
        <v>0.27800000000000002</v>
      </c>
      <c r="P19" s="33"/>
      <c r="Q19" s="23">
        <v>2.3199999999999998</v>
      </c>
      <c r="R19" s="23">
        <v>0.5</v>
      </c>
      <c r="S19" s="23">
        <v>0.22600000000000001</v>
      </c>
      <c r="T19" s="23">
        <v>2.9000000000000001E-2</v>
      </c>
      <c r="U19" s="33"/>
      <c r="V19" s="48">
        <f t="shared" ref="V19:V25" si="40">Q19*0.97/(Q19*0.97+R19+S19+T19)</f>
        <v>0.7487855193984162</v>
      </c>
      <c r="W19" s="33">
        <f t="shared" ref="W19:W25" si="41">R19/(Q19*0.97+R19+S19+T19)</f>
        <v>0.16636720569641314</v>
      </c>
      <c r="X19" s="48">
        <f t="shared" ref="X19:X25" si="42">S19/(Q19*0.97+R19+S19+T19)</f>
        <v>7.5197976974778744E-2</v>
      </c>
      <c r="Y19" s="48">
        <f t="shared" ref="Y19:Y25" si="43">T19/(Q19*0.97+R19+S19+T19)</f>
        <v>9.6492979303919625E-3</v>
      </c>
      <c r="Z19" s="48"/>
      <c r="AA19" s="48">
        <f t="shared" ref="AA19:AA25" si="44">5.993*W19*W19-9.67*X19*X19-11.006*V19*W19+0.674*V19*X19-9.5725*W19*X19-22.765*W19*Y19-4.6665*X19*Y19+11.006*V19*V19*W19-0.674*V19*V19*X19-11.986*W19*W19*V19+37.966*W19*W19*X19+46.02*W19*W19*Y19+19.34*X19*X19*V19+25.746*X19*X19*W19+46.02*Y19*Y19*W19+19.145*V19*W19*X19+45.53*V19*W19*Y19+9.333*V19*X19*Y19+77.876*W19*X19*Y19</f>
        <v>-0.18511999671223311</v>
      </c>
      <c r="AB19" s="48">
        <f t="shared" ref="AB19:AB25" si="45">-0.034*W19*W19+0.135*X19*X19+0.024*Y19*Y19+0.1*V19*W19+0.08*V19*X19+0.048*V19*Y19-0.0515*W19*X19+0.07*W19*Y19+0.1765*X19*Y19-0.1*V19*V19*W19-0.08*V19*V19*X19-0.048*V19*V19*Y19+0.068*W19*W19*V19-0.136*W19*W19*X19-0.076*W19*W19*Y19-0.27*X19*X19*V19-0.28*X19*X19*W19-0.13*X19*X19*Y19-0.048*Y19*Y19*V19-0.076*Y19*Y19*W19-0.13*Y19*Y19*X19+0.103*V19*W19*X19-0.14*V19*W19*Y19-0.353*V19*X19*Y19-0.414*W19*X19*Y19</f>
        <v>4.0105021893366817E-3</v>
      </c>
      <c r="AC19" s="48">
        <f t="shared" ref="AC19:AC25" si="46">-5672*W19*W19+19932*X19*X19+1617*Y19*Y19+23244*V19*W19-2608*V19*X19+3234*V19*Y19+31326.5*W19*X19+45841*W19*Y19+12356*X19*Y19-23244*V19*V19*W19+2608*V19*V19*X19-3234*V19*V19*Y19+11344*W19*W19*V19-132228*W19*W19*X19-82498*W19*W19*Y19-39864*X19*X19*V19-51518*X19*X19*W19-2850*X19*X19*Y19-3234*Y19*Y19*V19-82498*Y19*Y19*W19-2850*Y19*Y19*X19-62653*V19*W19*X19-91682*V19*W19*Y19-24712*V19*X19*Y19-177221*W19*X19*Y19</f>
        <v>113.71238526975795</v>
      </c>
      <c r="AD19" s="48"/>
      <c r="AE19" s="48">
        <f t="shared" ref="AE19:AE25" si="47">-5.503*V19*V19-12.873*X19*X19-23.01*Y19*Y19+11.986*V19*W19-9.5725*V19*X19-22.765*V19*Y19-37.966*W19*X19-46.02*W19*Y19-38.938*X19*Y19+11.006*V19*V19*W19-0.674*V19*V19*X19-11.986*W19*W19*V19+37.966*W19*W19*X19+46.02*W19*W19*Y19+19.34*X19*X19*V19+25.746*X19*X19*W19+46.02*Y19*Y19*W19+19.145*V19*W19*X19+45.53*V19*W19*Y19+9.333*V19*X19*Y19+77.876*W19*X19*Y19</f>
        <v>-1.7513291788144705</v>
      </c>
      <c r="AF19" s="48">
        <f t="shared" ref="AF19:AF25" si="48">0.05*V19*V19+0.14*X19*X19+0.038*Y19*Y19-0.068*V19*W19-0.0515*V19*X19+0.07*V19*Y19+0.136*W19*X19+0.076*W19*Y19+0.207*X19*Y19-0.1*V19*V19*W19-0.08*V19*V19*X19-0.048*V19*V19*Y19+0.068*W19*W19*V19-0.136*W19*W19*X19-0.076*W19*W19*Y19-0.27*X19*X19*V19-0.28*X19*X19*W19-0.13*X19*X19*Y19-0.048*Y19*Y19*V19-0.076*Y19*Y19*W19-0.13*Y19*Y19*X19+0.103*V19*W19*X19-0.14*V19*W19*Y19-0.353*V19*X19*Y19-0.414*W19*X19*Y19</f>
        <v>7.2188391811542872E-3</v>
      </c>
      <c r="AG19" s="48">
        <f t="shared" ref="AG19:AG25" si="49">11622*V19*V19+25759*X19*X19+41249*Y19*Y19-11344*V19*W19+31326.5*V19*X19+45841*V19*Y19+132228*W19*X19+82498*W19*Y19+88610.5*X19*Y19-23244*V19*V19*W19+2608*V19*V19*X19-3234*V19*V19*Y19+11344*W19*W19*V19-132228*W19*W19*X19-82498*W19*W19*Y19-39864*X19*X19*V19-51518*X19*X19*W19-2850*X19*X19*Y19-3234*Y19*Y19*V19-82498*Y19*Y19*W19-2850*Y19*Y19*X19-62653*V19*W19*X19-91682*V19*W19*Y19-24712*V19*X19*Y19-177221*W19*X19*Y19</f>
        <v>6109.9242765701065</v>
      </c>
      <c r="AH19" s="33"/>
      <c r="AI19" s="48">
        <f t="shared" ref="AI19:AI25" si="50">0.337*V19*V19-18.983*W19*W19-9.5725*V19*W19-19.34*V19*X19-4.6665*V19*Y19-25.746*W19*X19-38.938*W19*Y19+11.006*V19*V19*W19-0.674*V19*V19*X19-11.986*W19*W19*V19+37.966*W19*W19*X19+46.02*W19*W19*Y19+19.34*X19*X19*V19+25.746*X19*X19*W19+46.02*Y19*Y19*W19+19.145*V19*W19*X19+45.53*V19*W19*Y19+9.333*V19*X19*Y19+77.876*W19*X19*Y19</f>
        <v>-1.8397638076225642</v>
      </c>
      <c r="AJ19" s="48">
        <f t="shared" ref="AJ19:AJ25" si="51">0.04*V19*V19+0.068*W19*W19+0.065*Y19*Y19-0.0515*V19*W19+0.27*V19*X19+0.1765*V19*Y19+0.28*W19*X19+0.207*W19*Y19+0.13*X19*Y19-0.1*V19*V19*W19-0.08*V19*V19*X19-0.048*V19*V19*Y19+0.068*W19*W19*V19-0.136*W19*W19*X19-0.076*W19*W19*Y19-0.27*X19*X19*V19-0.28*X19*X19*W19-0.13*X19*X19*Y19-0.048*Y19*Y19*V19-0.076*Y19*Y19*W19-0.13*Y19*Y19*X19+0.103*V19*W19*X19-0.14*V19*W19*Y19-0.353*V19*X19*Y19-0.414*W19*X19*Y19</f>
        <v>2.558863521949931E-2</v>
      </c>
      <c r="AK19" s="48">
        <f t="shared" ref="AK19:AK25" si="52">-1304*V19*V19+66114*W19*W19+1425*Y19*Y19+31326.5*V19*W19+39864*V19*X19+12356*V19*Y19+51518*W19*X19+88610.5*W19*Y19+2850*X19*Y19-23244*V19*V19*W19+2608*V19*V19*X19-3234*V19*V19*Y19+11344*W19*W19*V19-132228*W19*W19*X19-82498*W19*W19*Y19-39864*X19*X19*V19-51518*X19*X19*W19-2850*X19*X19*Y19-3234*Y19*Y19*V19-82498*Y19*Y19*W19-2850*Y19*Y19*X19-62653*V19*W19*X19-91682*V19*W19*Y19-24712*V19*X19*Y19-177221*W19*X19*Y19</f>
        <v>5035.3713553977896</v>
      </c>
      <c r="AL19" s="33"/>
      <c r="AM19" s="33"/>
      <c r="AN19" s="48">
        <f t="shared" ref="AN19:AN25" si="53">L19*0.884/(L19*0.884+M19+N19+O19)</f>
        <v>0.28587422989376704</v>
      </c>
      <c r="AO19" s="48">
        <f t="shared" ref="AO19:AO25" si="54">M19/(L19*0.884+M19+N19+O19)</f>
        <v>0.24054105117314054</v>
      </c>
      <c r="AP19" s="48">
        <f t="shared" ref="AP19:AP25" si="55">N19/(L19*0.884+M19+N19+O19)</f>
        <v>0.43884684245198419</v>
      </c>
      <c r="AQ19" s="48">
        <f t="shared" ref="AQ19:AQ25" si="56">O19/(L19*0.884+M19+N19+O19)</f>
        <v>3.4737876481108092E-2</v>
      </c>
      <c r="AR19" s="33"/>
      <c r="AS19" s="48"/>
      <c r="AT19" s="33">
        <f t="shared" ref="AT19:AT25" si="57">40198+(0.295-(AB19-AF19))*H19-(AC19-AG19)+22998*(AO19-AN19)+245559*AP19+310990*AQ19</f>
        <v>166180.76430316237</v>
      </c>
      <c r="AU19" s="33">
        <f t="shared" ref="AU19:AU25" si="58">7.802+3*8.3144*LN((V19/W19)/(AN19/AO19))+(AA19-AE19)+17.396*(AO19-AN19)+280.396*AP19+370.39*AQ19</f>
        <v>177.71126912877835</v>
      </c>
      <c r="AV19" s="35">
        <f t="shared" ref="AV19:AV25" si="59">AT19/AU19-273.15</f>
        <v>661.9666367662345</v>
      </c>
      <c r="AW19" s="33"/>
      <c r="AX19" s="35"/>
      <c r="AY19" s="33"/>
      <c r="AZ19" s="33"/>
      <c r="BA19" s="33"/>
      <c r="BB19" s="49"/>
      <c r="BD19" s="33"/>
      <c r="BE19" s="36"/>
      <c r="BF19" s="36"/>
      <c r="BG19" s="33"/>
      <c r="BH19" s="33"/>
      <c r="BI19" s="38"/>
    </row>
    <row r="20" spans="1:61" x14ac:dyDescent="0.55000000000000004">
      <c r="B20" s="37"/>
      <c r="C20" s="135" t="s">
        <v>154</v>
      </c>
      <c r="D20" s="158" t="s">
        <v>249</v>
      </c>
      <c r="E20" s="135" t="s">
        <v>153</v>
      </c>
      <c r="F20" s="158" t="s">
        <v>253</v>
      </c>
      <c r="H20" s="32">
        <v>8260</v>
      </c>
      <c r="J20" s="94">
        <f t="shared" si="39"/>
        <v>659.0246011711323</v>
      </c>
      <c r="K20" s="53"/>
      <c r="L20" s="23">
        <v>2.5750000000000002</v>
      </c>
      <c r="M20" s="23">
        <v>1.97</v>
      </c>
      <c r="N20" s="23">
        <v>3.4529999999999998</v>
      </c>
      <c r="O20" s="23">
        <v>0.28000000000000003</v>
      </c>
      <c r="P20" s="33"/>
      <c r="Q20" s="23">
        <v>2.3199999999999998</v>
      </c>
      <c r="R20" s="23">
        <v>0.5</v>
      </c>
      <c r="S20" s="23">
        <v>0.22600000000000001</v>
      </c>
      <c r="T20" s="23">
        <v>2.9000000000000001E-2</v>
      </c>
      <c r="U20" s="33"/>
      <c r="V20" s="48">
        <f t="shared" si="40"/>
        <v>0.7487855193984162</v>
      </c>
      <c r="W20" s="33">
        <f t="shared" si="41"/>
        <v>0.16636720569641314</v>
      </c>
      <c r="X20" s="48">
        <f t="shared" si="42"/>
        <v>7.5197976974778744E-2</v>
      </c>
      <c r="Y20" s="48">
        <f t="shared" si="43"/>
        <v>9.6492979303919625E-3</v>
      </c>
      <c r="Z20" s="48"/>
      <c r="AA20" s="48">
        <f t="shared" si="44"/>
        <v>-0.18511999671223311</v>
      </c>
      <c r="AB20" s="48">
        <f t="shared" si="45"/>
        <v>4.0105021893366817E-3</v>
      </c>
      <c r="AC20" s="48">
        <f t="shared" si="46"/>
        <v>113.71238526975795</v>
      </c>
      <c r="AD20" s="48"/>
      <c r="AE20" s="48">
        <f t="shared" si="47"/>
        <v>-1.7513291788144705</v>
      </c>
      <c r="AF20" s="48">
        <f t="shared" si="48"/>
        <v>7.2188391811542872E-3</v>
      </c>
      <c r="AG20" s="48">
        <f t="shared" si="49"/>
        <v>6109.9242765701065</v>
      </c>
      <c r="AH20" s="33"/>
      <c r="AI20" s="48">
        <f t="shared" si="50"/>
        <v>-1.8397638076225642</v>
      </c>
      <c r="AJ20" s="48">
        <f t="shared" si="51"/>
        <v>2.558863521949931E-2</v>
      </c>
      <c r="AK20" s="48">
        <f t="shared" si="52"/>
        <v>5035.3713553977896</v>
      </c>
      <c r="AL20" s="33"/>
      <c r="AM20" s="33"/>
      <c r="AN20" s="48">
        <f t="shared" si="53"/>
        <v>0.28527565074630606</v>
      </c>
      <c r="AO20" s="48">
        <f t="shared" si="54"/>
        <v>0.24688882483425867</v>
      </c>
      <c r="AP20" s="48">
        <f t="shared" si="55"/>
        <v>0.43274472698106353</v>
      </c>
      <c r="AQ20" s="48">
        <f t="shared" si="56"/>
        <v>3.509079743837179E-2</v>
      </c>
      <c r="AR20" s="33"/>
      <c r="AS20" s="48"/>
      <c r="AT20" s="33">
        <f t="shared" si="57"/>
        <v>164951.84204062971</v>
      </c>
      <c r="AU20" s="33">
        <f t="shared" si="58"/>
        <v>176.95380439822475</v>
      </c>
      <c r="AV20" s="35">
        <f t="shared" si="59"/>
        <v>659.0246011711323</v>
      </c>
      <c r="AW20" s="33"/>
      <c r="AX20" s="35"/>
      <c r="AY20" s="33"/>
      <c r="AZ20" s="33"/>
      <c r="BA20" s="33"/>
      <c r="BB20" s="49"/>
      <c r="BD20" s="33"/>
      <c r="BE20" s="36"/>
      <c r="BF20" s="36"/>
      <c r="BG20" s="33"/>
      <c r="BH20" s="33"/>
      <c r="BI20" s="38"/>
    </row>
    <row r="21" spans="1:61" x14ac:dyDescent="0.55000000000000004">
      <c r="B21" s="37"/>
      <c r="C21" s="135" t="s">
        <v>155</v>
      </c>
      <c r="D21" s="158" t="s">
        <v>249</v>
      </c>
      <c r="E21" s="135" t="s">
        <v>153</v>
      </c>
      <c r="F21" s="158" t="s">
        <v>253</v>
      </c>
      <c r="H21" s="32">
        <v>8260</v>
      </c>
      <c r="J21" s="94">
        <f t="shared" si="39"/>
        <v>659.14428175177557</v>
      </c>
      <c r="K21" s="53"/>
      <c r="L21" s="23">
        <v>2.548</v>
      </c>
      <c r="M21" s="23">
        <v>1.9590000000000001</v>
      </c>
      <c r="N21" s="23">
        <v>3.34</v>
      </c>
      <c r="O21" s="23">
        <v>0.26400000000000001</v>
      </c>
      <c r="P21" s="33"/>
      <c r="Q21" s="23">
        <v>2.3199999999999998</v>
      </c>
      <c r="R21" s="23">
        <v>0.5</v>
      </c>
      <c r="S21" s="23">
        <v>0.22600000000000001</v>
      </c>
      <c r="T21" s="23">
        <v>2.9000000000000001E-2</v>
      </c>
      <c r="U21" s="33"/>
      <c r="V21" s="48">
        <f t="shared" si="40"/>
        <v>0.7487855193984162</v>
      </c>
      <c r="W21" s="33">
        <f t="shared" si="41"/>
        <v>0.16636720569641314</v>
      </c>
      <c r="X21" s="48">
        <f t="shared" si="42"/>
        <v>7.5197976974778744E-2</v>
      </c>
      <c r="Y21" s="48">
        <f t="shared" si="43"/>
        <v>9.6492979303919625E-3</v>
      </c>
      <c r="Z21" s="48"/>
      <c r="AA21" s="48">
        <f t="shared" si="44"/>
        <v>-0.18511999671223311</v>
      </c>
      <c r="AB21" s="48">
        <f t="shared" si="45"/>
        <v>4.0105021893366817E-3</v>
      </c>
      <c r="AC21" s="48">
        <f t="shared" si="46"/>
        <v>113.71238526975795</v>
      </c>
      <c r="AD21" s="48"/>
      <c r="AE21" s="48">
        <f t="shared" si="47"/>
        <v>-1.7513291788144705</v>
      </c>
      <c r="AF21" s="48">
        <f t="shared" si="48"/>
        <v>7.2188391811542872E-3</v>
      </c>
      <c r="AG21" s="48">
        <f t="shared" si="49"/>
        <v>6109.9242765701065</v>
      </c>
      <c r="AH21" s="33"/>
      <c r="AI21" s="48">
        <f t="shared" si="50"/>
        <v>-1.8397638076225642</v>
      </c>
      <c r="AJ21" s="48">
        <f t="shared" si="51"/>
        <v>2.558863521949931E-2</v>
      </c>
      <c r="AK21" s="48">
        <f t="shared" si="52"/>
        <v>5035.3713553977896</v>
      </c>
      <c r="AL21" s="33"/>
      <c r="AM21" s="33"/>
      <c r="AN21" s="48">
        <f t="shared" si="53"/>
        <v>0.28820313451642854</v>
      </c>
      <c r="AO21" s="48">
        <f t="shared" si="54"/>
        <v>0.25065792908184731</v>
      </c>
      <c r="AP21" s="48">
        <f t="shared" si="55"/>
        <v>0.42735961364643693</v>
      </c>
      <c r="AQ21" s="48">
        <f t="shared" si="56"/>
        <v>3.3779322755287229E-2</v>
      </c>
      <c r="AR21" s="33"/>
      <c r="AS21" s="48"/>
      <c r="AT21" s="33">
        <f t="shared" si="57"/>
        <v>163240.97907134044</v>
      </c>
      <c r="AU21" s="33">
        <f t="shared" si="58"/>
        <v>175.09597802596363</v>
      </c>
      <c r="AV21" s="35">
        <f t="shared" si="59"/>
        <v>659.14428175177557</v>
      </c>
      <c r="AW21" s="33"/>
      <c r="AX21" s="35"/>
      <c r="AY21" s="33"/>
      <c r="AZ21" s="33"/>
      <c r="BA21" s="33"/>
      <c r="BB21" s="49"/>
      <c r="BD21" s="33"/>
      <c r="BE21" s="36"/>
      <c r="BF21" s="36"/>
      <c r="BG21" s="33"/>
      <c r="BH21" s="33"/>
      <c r="BI21" s="38"/>
    </row>
    <row r="22" spans="1:61" x14ac:dyDescent="0.55000000000000004">
      <c r="B22" s="37"/>
      <c r="C22" s="135" t="s">
        <v>156</v>
      </c>
      <c r="D22" s="158" t="s">
        <v>248</v>
      </c>
      <c r="E22" s="135" t="s">
        <v>153</v>
      </c>
      <c r="F22" s="158" t="s">
        <v>253</v>
      </c>
      <c r="H22" s="32">
        <v>7890</v>
      </c>
      <c r="J22" s="94">
        <f t="shared" si="39"/>
        <v>659.31486821447209</v>
      </c>
      <c r="K22" s="53"/>
      <c r="L22" s="23">
        <v>2.5350000000000001</v>
      </c>
      <c r="M22" s="23">
        <v>1.9079999999999999</v>
      </c>
      <c r="N22" s="23">
        <v>3.4180000000000001</v>
      </c>
      <c r="O22" s="23">
        <v>0.318</v>
      </c>
      <c r="P22" s="33"/>
      <c r="Q22" s="23">
        <v>2.3199999999999998</v>
      </c>
      <c r="R22" s="23">
        <v>0.5</v>
      </c>
      <c r="S22" s="23">
        <v>0.22600000000000001</v>
      </c>
      <c r="T22" s="23">
        <v>2.9000000000000001E-2</v>
      </c>
      <c r="U22" s="33"/>
      <c r="V22" s="48">
        <f t="shared" si="40"/>
        <v>0.7487855193984162</v>
      </c>
      <c r="W22" s="33">
        <f t="shared" si="41"/>
        <v>0.16636720569641314</v>
      </c>
      <c r="X22" s="48">
        <f t="shared" si="42"/>
        <v>7.5197976974778744E-2</v>
      </c>
      <c r="Y22" s="48">
        <f t="shared" si="43"/>
        <v>9.6492979303919625E-3</v>
      </c>
      <c r="Z22" s="48"/>
      <c r="AA22" s="48">
        <f t="shared" si="44"/>
        <v>-0.18511999671223311</v>
      </c>
      <c r="AB22" s="48">
        <f t="shared" si="45"/>
        <v>4.0105021893366817E-3</v>
      </c>
      <c r="AC22" s="48">
        <f t="shared" si="46"/>
        <v>113.71238526975795</v>
      </c>
      <c r="AD22" s="48"/>
      <c r="AE22" s="48">
        <f t="shared" si="47"/>
        <v>-1.7513291788144705</v>
      </c>
      <c r="AF22" s="48">
        <f t="shared" si="48"/>
        <v>7.2188391811542872E-3</v>
      </c>
      <c r="AG22" s="48">
        <f t="shared" si="49"/>
        <v>6109.9242765701065</v>
      </c>
      <c r="AH22" s="33"/>
      <c r="AI22" s="48">
        <f t="shared" si="50"/>
        <v>-1.8397638076225642</v>
      </c>
      <c r="AJ22" s="48">
        <f t="shared" si="51"/>
        <v>2.558863521949931E-2</v>
      </c>
      <c r="AK22" s="48">
        <f t="shared" si="52"/>
        <v>5035.3713553977896</v>
      </c>
      <c r="AL22" s="33"/>
      <c r="AM22" s="33"/>
      <c r="AN22" s="48">
        <f t="shared" si="53"/>
        <v>0.28420507955672464</v>
      </c>
      <c r="AO22" s="48">
        <f t="shared" si="54"/>
        <v>0.24198028139719516</v>
      </c>
      <c r="AP22" s="48">
        <f t="shared" si="55"/>
        <v>0.43348459214654778</v>
      </c>
      <c r="AQ22" s="48">
        <f t="shared" si="56"/>
        <v>4.0330046899532533E-2</v>
      </c>
      <c r="AR22" s="33"/>
      <c r="AS22" s="48"/>
      <c r="AT22" s="33">
        <f t="shared" si="57"/>
        <v>166564.27401029266</v>
      </c>
      <c r="AU22" s="33">
        <f t="shared" si="58"/>
        <v>178.62793515131335</v>
      </c>
      <c r="AV22" s="35">
        <f t="shared" si="59"/>
        <v>659.31486821447209</v>
      </c>
      <c r="AW22" s="33"/>
      <c r="AX22" s="35"/>
      <c r="AY22" s="33"/>
      <c r="AZ22" s="33"/>
      <c r="BA22" s="33"/>
      <c r="BB22" s="49"/>
      <c r="BD22" s="33"/>
      <c r="BE22" s="36"/>
      <c r="BF22" s="36"/>
      <c r="BG22" s="33"/>
      <c r="BH22" s="33"/>
      <c r="BI22" s="38"/>
    </row>
    <row r="23" spans="1:61" x14ac:dyDescent="0.55000000000000004">
      <c r="B23" s="37"/>
      <c r="C23" s="135" t="s">
        <v>157</v>
      </c>
      <c r="D23" s="158" t="s">
        <v>248</v>
      </c>
      <c r="E23" s="135" t="s">
        <v>153</v>
      </c>
      <c r="F23" s="158" t="s">
        <v>253</v>
      </c>
      <c r="H23" s="32">
        <v>7890</v>
      </c>
      <c r="J23" s="94">
        <f t="shared" si="39"/>
        <v>666.02857106354338</v>
      </c>
      <c r="K23" s="53"/>
      <c r="L23" s="23">
        <v>2.6440000000000001</v>
      </c>
      <c r="M23" s="23">
        <v>1.9059999999999999</v>
      </c>
      <c r="N23" s="23">
        <v>3.4119999999999999</v>
      </c>
      <c r="O23" s="23">
        <v>0.27400000000000002</v>
      </c>
      <c r="P23" s="33"/>
      <c r="Q23" s="23">
        <v>2.3199999999999998</v>
      </c>
      <c r="R23" s="23">
        <v>0.5</v>
      </c>
      <c r="S23" s="23">
        <v>0.22600000000000001</v>
      </c>
      <c r="T23" s="23">
        <v>2.9000000000000001E-2</v>
      </c>
      <c r="U23" s="33"/>
      <c r="V23" s="48">
        <f t="shared" si="40"/>
        <v>0.7487855193984162</v>
      </c>
      <c r="W23" s="33">
        <f t="shared" si="41"/>
        <v>0.16636720569641314</v>
      </c>
      <c r="X23" s="48">
        <f t="shared" si="42"/>
        <v>7.5197976974778744E-2</v>
      </c>
      <c r="Y23" s="48">
        <f t="shared" si="43"/>
        <v>9.6492979303919625E-3</v>
      </c>
      <c r="Z23" s="48"/>
      <c r="AA23" s="48">
        <f t="shared" si="44"/>
        <v>-0.18511999671223311</v>
      </c>
      <c r="AB23" s="48">
        <f t="shared" si="45"/>
        <v>4.0105021893366817E-3</v>
      </c>
      <c r="AC23" s="48">
        <f t="shared" si="46"/>
        <v>113.71238526975795</v>
      </c>
      <c r="AD23" s="48"/>
      <c r="AE23" s="48">
        <f t="shared" si="47"/>
        <v>-1.7513291788144705</v>
      </c>
      <c r="AF23" s="48">
        <f t="shared" si="48"/>
        <v>7.2188391811542872E-3</v>
      </c>
      <c r="AG23" s="48">
        <f t="shared" si="49"/>
        <v>6109.9242765701065</v>
      </c>
      <c r="AH23" s="33"/>
      <c r="AI23" s="48">
        <f t="shared" si="50"/>
        <v>-1.8397638076225642</v>
      </c>
      <c r="AJ23" s="48">
        <f t="shared" si="51"/>
        <v>2.558863521949931E-2</v>
      </c>
      <c r="AK23" s="48">
        <f t="shared" si="52"/>
        <v>5035.3713553977896</v>
      </c>
      <c r="AL23" s="33"/>
      <c r="AM23" s="33"/>
      <c r="AN23" s="48">
        <f t="shared" si="53"/>
        <v>0.29476715209017301</v>
      </c>
      <c r="AO23" s="48">
        <f t="shared" si="54"/>
        <v>0.24037442920531657</v>
      </c>
      <c r="AP23" s="48">
        <f t="shared" si="55"/>
        <v>0.43030301807373567</v>
      </c>
      <c r="AQ23" s="48">
        <f t="shared" si="56"/>
        <v>3.4555400630774794E-2</v>
      </c>
      <c r="AR23" s="33"/>
      <c r="AS23" s="48"/>
      <c r="AT23" s="33">
        <f t="shared" si="57"/>
        <v>163707.31468659296</v>
      </c>
      <c r="AU23" s="33">
        <f t="shared" si="58"/>
        <v>174.30903954847238</v>
      </c>
      <c r="AV23" s="35">
        <f t="shared" si="59"/>
        <v>666.02857106354338</v>
      </c>
      <c r="AW23" s="33"/>
      <c r="AX23" s="35"/>
      <c r="AY23" s="33"/>
      <c r="AZ23" s="33"/>
      <c r="BA23" s="33"/>
      <c r="BB23" s="49"/>
      <c r="BD23" s="33"/>
      <c r="BE23" s="36"/>
      <c r="BF23" s="36"/>
      <c r="BG23" s="33"/>
      <c r="BH23" s="33"/>
      <c r="BI23" s="38"/>
    </row>
    <row r="24" spans="1:61" x14ac:dyDescent="0.55000000000000004">
      <c r="B24" s="37"/>
      <c r="C24" s="135" t="s">
        <v>158</v>
      </c>
      <c r="D24" s="158" t="s">
        <v>248</v>
      </c>
      <c r="E24" s="135" t="s">
        <v>153</v>
      </c>
      <c r="F24" s="158" t="s">
        <v>253</v>
      </c>
      <c r="H24" s="32">
        <v>7890</v>
      </c>
      <c r="J24" s="94">
        <f t="shared" si="39"/>
        <v>676.33004724792011</v>
      </c>
      <c r="K24" s="35"/>
      <c r="L24" s="23">
        <v>2.7170000000000001</v>
      </c>
      <c r="M24" s="23">
        <v>1.8049999999999999</v>
      </c>
      <c r="N24" s="23">
        <v>3.375</v>
      </c>
      <c r="O24" s="23">
        <v>0.27400000000000002</v>
      </c>
      <c r="P24" s="33"/>
      <c r="Q24" s="23">
        <v>2.3199999999999998</v>
      </c>
      <c r="R24" s="23">
        <v>0.5</v>
      </c>
      <c r="S24" s="23">
        <v>0.22600000000000001</v>
      </c>
      <c r="T24" s="23">
        <v>2.9000000000000001E-2</v>
      </c>
      <c r="U24" s="33"/>
      <c r="V24" s="48">
        <f t="shared" si="40"/>
        <v>0.7487855193984162</v>
      </c>
      <c r="W24" s="33">
        <f t="shared" si="41"/>
        <v>0.16636720569641314</v>
      </c>
      <c r="X24" s="48">
        <f t="shared" si="42"/>
        <v>7.5197976974778744E-2</v>
      </c>
      <c r="Y24" s="48">
        <f t="shared" si="43"/>
        <v>9.6492979303919625E-3</v>
      </c>
      <c r="Z24" s="48"/>
      <c r="AA24" s="48">
        <f t="shared" si="44"/>
        <v>-0.18511999671223311</v>
      </c>
      <c r="AB24" s="48">
        <f t="shared" si="45"/>
        <v>4.0105021893366817E-3</v>
      </c>
      <c r="AC24" s="48">
        <f t="shared" si="46"/>
        <v>113.71238526975795</v>
      </c>
      <c r="AD24" s="48"/>
      <c r="AE24" s="48">
        <f t="shared" si="47"/>
        <v>-1.7513291788144705</v>
      </c>
      <c r="AF24" s="48">
        <f t="shared" si="48"/>
        <v>7.2188391811542872E-3</v>
      </c>
      <c r="AG24" s="48">
        <f t="shared" si="49"/>
        <v>6109.9242765701065</v>
      </c>
      <c r="AH24" s="33"/>
      <c r="AI24" s="48">
        <f t="shared" si="50"/>
        <v>-1.8397638076225642</v>
      </c>
      <c r="AJ24" s="48">
        <f t="shared" si="51"/>
        <v>2.558863521949931E-2</v>
      </c>
      <c r="AK24" s="48">
        <f t="shared" si="52"/>
        <v>5035.3713553977896</v>
      </c>
      <c r="AL24" s="33"/>
      <c r="AM24" s="33"/>
      <c r="AN24" s="48">
        <f t="shared" si="53"/>
        <v>0.30573836392548309</v>
      </c>
      <c r="AO24" s="48">
        <f t="shared" si="54"/>
        <v>0.2297657229766232</v>
      </c>
      <c r="AP24" s="48">
        <f t="shared" si="55"/>
        <v>0.42961734905601295</v>
      </c>
      <c r="AQ24" s="48">
        <f t="shared" si="56"/>
        <v>3.4878564041880757E-2</v>
      </c>
      <c r="AR24" s="33"/>
      <c r="AS24" s="48"/>
      <c r="AT24" s="33">
        <f t="shared" si="57"/>
        <v>163143.14812185388</v>
      </c>
      <c r="AU24" s="33">
        <f t="shared" si="58"/>
        <v>171.82367190835274</v>
      </c>
      <c r="AV24" s="35">
        <f t="shared" si="59"/>
        <v>676.33004724792011</v>
      </c>
      <c r="AW24" s="33"/>
      <c r="AX24" s="35"/>
      <c r="AY24" s="33"/>
      <c r="AZ24" s="33"/>
      <c r="BA24" s="33"/>
      <c r="BB24" s="49"/>
      <c r="BD24" s="33"/>
      <c r="BE24" s="36"/>
      <c r="BF24" s="36"/>
      <c r="BG24" s="33"/>
      <c r="BH24" s="33"/>
      <c r="BI24" s="38"/>
    </row>
    <row r="25" spans="1:61" x14ac:dyDescent="0.55000000000000004">
      <c r="B25" s="37"/>
      <c r="C25" s="135" t="s">
        <v>159</v>
      </c>
      <c r="D25" s="158" t="s">
        <v>248</v>
      </c>
      <c r="E25" s="135" t="s">
        <v>153</v>
      </c>
      <c r="F25" s="158" t="s">
        <v>253</v>
      </c>
      <c r="H25" s="32">
        <v>7890</v>
      </c>
      <c r="J25" s="94">
        <f t="shared" si="39"/>
        <v>669.46981899924174</v>
      </c>
      <c r="K25" s="35"/>
      <c r="L25" s="23">
        <v>2.6640000000000001</v>
      </c>
      <c r="M25" s="23">
        <v>1.861</v>
      </c>
      <c r="N25" s="23">
        <v>3.488</v>
      </c>
      <c r="O25" s="23">
        <v>0.26500000000000001</v>
      </c>
      <c r="P25" s="33"/>
      <c r="Q25" s="23">
        <v>2.3199999999999998</v>
      </c>
      <c r="R25" s="23">
        <v>0.5</v>
      </c>
      <c r="S25" s="23">
        <v>0.22600000000000001</v>
      </c>
      <c r="T25" s="23">
        <v>2.9000000000000001E-2</v>
      </c>
      <c r="U25" s="33"/>
      <c r="V25" s="48">
        <f t="shared" si="40"/>
        <v>0.7487855193984162</v>
      </c>
      <c r="W25" s="33">
        <f t="shared" si="41"/>
        <v>0.16636720569641314</v>
      </c>
      <c r="X25" s="48">
        <f t="shared" si="42"/>
        <v>7.5197976974778744E-2</v>
      </c>
      <c r="Y25" s="48">
        <f t="shared" si="43"/>
        <v>9.6492979303919625E-3</v>
      </c>
      <c r="Z25" s="48"/>
      <c r="AA25" s="48">
        <f t="shared" si="44"/>
        <v>-0.18511999671223311</v>
      </c>
      <c r="AB25" s="48">
        <f t="shared" si="45"/>
        <v>4.0105021893366817E-3</v>
      </c>
      <c r="AC25" s="48">
        <f t="shared" si="46"/>
        <v>113.71238526975795</v>
      </c>
      <c r="AD25" s="48"/>
      <c r="AE25" s="48">
        <f t="shared" si="47"/>
        <v>-1.7513291788144705</v>
      </c>
      <c r="AF25" s="48">
        <f t="shared" si="48"/>
        <v>7.2188391811542872E-3</v>
      </c>
      <c r="AG25" s="48">
        <f t="shared" si="49"/>
        <v>6109.9242765701065</v>
      </c>
      <c r="AH25" s="33"/>
      <c r="AI25" s="48">
        <f t="shared" si="50"/>
        <v>-1.8397638076225642</v>
      </c>
      <c r="AJ25" s="48">
        <f t="shared" si="51"/>
        <v>2.558863521949931E-2</v>
      </c>
      <c r="AK25" s="48">
        <f t="shared" si="52"/>
        <v>5035.3713553977896</v>
      </c>
      <c r="AL25" s="33"/>
      <c r="AM25" s="33"/>
      <c r="AN25" s="48">
        <f t="shared" si="53"/>
        <v>0.2955180188772058</v>
      </c>
      <c r="AO25" s="48">
        <f t="shared" si="54"/>
        <v>0.23353063179008193</v>
      </c>
      <c r="AP25" s="48">
        <f t="shared" si="55"/>
        <v>0.4376973904802825</v>
      </c>
      <c r="AQ25" s="48">
        <f t="shared" si="56"/>
        <v>3.3253958852429724E-2</v>
      </c>
      <c r="AR25" s="33"/>
      <c r="AS25" s="48"/>
      <c r="AT25" s="33">
        <f t="shared" si="57"/>
        <v>164943.67191440091</v>
      </c>
      <c r="AU25" s="33">
        <f t="shared" si="58"/>
        <v>174.98430288630883</v>
      </c>
      <c r="AV25" s="35">
        <f t="shared" si="59"/>
        <v>669.46981899924174</v>
      </c>
      <c r="AW25" s="33"/>
      <c r="AX25" s="35"/>
      <c r="AY25" s="33"/>
      <c r="AZ25" s="33"/>
      <c r="BA25" s="33"/>
      <c r="BB25" s="49"/>
      <c r="BD25" s="33"/>
      <c r="BE25" s="36"/>
      <c r="BF25" s="36"/>
      <c r="BG25" s="33"/>
      <c r="BH25" s="33"/>
      <c r="BI25" s="38"/>
    </row>
    <row r="26" spans="1:61" s="88" customFormat="1" x14ac:dyDescent="0.55000000000000004">
      <c r="C26" s="135"/>
      <c r="D26" s="141"/>
      <c r="E26" s="135"/>
      <c r="F26" s="141"/>
      <c r="H26" s="168"/>
      <c r="I26" s="88" t="s">
        <v>59</v>
      </c>
      <c r="J26" s="153">
        <f>AVERAGE(J19:J25)</f>
        <v>664.46840360204556</v>
      </c>
      <c r="K26" s="104"/>
      <c r="L26" s="169"/>
      <c r="M26" s="169"/>
      <c r="N26" s="169"/>
      <c r="O26" s="169"/>
      <c r="P26" s="103"/>
      <c r="Q26" s="169"/>
      <c r="R26" s="169"/>
      <c r="S26" s="169"/>
      <c r="T26" s="169"/>
      <c r="U26" s="103"/>
      <c r="V26" s="105"/>
      <c r="W26" s="103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3"/>
      <c r="AI26" s="105"/>
      <c r="AJ26" s="105"/>
      <c r="AK26" s="105"/>
      <c r="AL26" s="103"/>
      <c r="AM26" s="103"/>
      <c r="AN26" s="105"/>
      <c r="AO26" s="105"/>
      <c r="AP26" s="105"/>
      <c r="AQ26" s="105"/>
      <c r="AR26" s="103"/>
      <c r="AS26" s="105"/>
      <c r="AT26" s="103"/>
      <c r="AU26" s="103"/>
      <c r="AV26" s="104"/>
      <c r="AW26" s="103"/>
      <c r="AX26" s="104"/>
      <c r="AY26" s="103"/>
      <c r="AZ26" s="103"/>
      <c r="BA26" s="103"/>
      <c r="BB26" s="106"/>
      <c r="BD26" s="103"/>
      <c r="BE26" s="107"/>
      <c r="BF26" s="107"/>
      <c r="BG26" s="103"/>
      <c r="BH26" s="103"/>
      <c r="BI26" s="108"/>
    </row>
    <row r="27" spans="1:61" s="109" customFormat="1" x14ac:dyDescent="0.55000000000000004">
      <c r="C27" s="136"/>
      <c r="D27" s="142"/>
      <c r="E27" s="136"/>
      <c r="F27" s="142"/>
      <c r="H27" s="40"/>
      <c r="J27" s="154"/>
      <c r="K27" s="111"/>
      <c r="L27" s="96"/>
      <c r="M27" s="96"/>
      <c r="N27" s="96"/>
      <c r="O27" s="96"/>
      <c r="P27" s="110"/>
      <c r="Q27" s="96"/>
      <c r="R27" s="96"/>
      <c r="S27" s="96"/>
      <c r="T27" s="96"/>
      <c r="U27" s="110"/>
      <c r="V27" s="112"/>
      <c r="W27" s="110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0"/>
      <c r="AI27" s="112"/>
      <c r="AJ27" s="112"/>
      <c r="AK27" s="112"/>
      <c r="AL27" s="110"/>
      <c r="AM27" s="110"/>
      <c r="AN27" s="112"/>
      <c r="AO27" s="112"/>
      <c r="AP27" s="112"/>
      <c r="AQ27" s="112"/>
      <c r="AR27" s="110"/>
      <c r="AS27" s="112"/>
      <c r="AT27" s="110"/>
      <c r="AU27" s="110"/>
      <c r="AV27" s="111"/>
      <c r="AW27" s="110"/>
      <c r="AX27" s="111"/>
      <c r="AY27" s="110"/>
      <c r="AZ27" s="110"/>
      <c r="BA27" s="110"/>
      <c r="BB27" s="113"/>
      <c r="BD27" s="110"/>
      <c r="BE27" s="114"/>
      <c r="BF27" s="114"/>
      <c r="BG27" s="110"/>
      <c r="BH27" s="110"/>
      <c r="BI27" s="115"/>
    </row>
    <row r="28" spans="1:61" x14ac:dyDescent="0.55000000000000004">
      <c r="H28" s="23"/>
      <c r="J28" s="19"/>
      <c r="L28" s="23"/>
      <c r="M28" s="23"/>
      <c r="N28" s="23"/>
      <c r="O28" s="23"/>
      <c r="Q28" s="23"/>
      <c r="R28" s="23"/>
      <c r="S28" s="23"/>
      <c r="T28" s="23"/>
    </row>
    <row r="29" spans="1:61" x14ac:dyDescent="0.55000000000000004">
      <c r="A29" s="37" t="s">
        <v>175</v>
      </c>
      <c r="B29" s="47" t="s">
        <v>204</v>
      </c>
      <c r="C29" s="135" t="s">
        <v>176</v>
      </c>
      <c r="D29" s="158" t="s">
        <v>277</v>
      </c>
      <c r="E29" s="37" t="s">
        <v>164</v>
      </c>
      <c r="F29" s="158" t="s">
        <v>362</v>
      </c>
      <c r="H29" s="32">
        <v>6290</v>
      </c>
      <c r="J29" s="94">
        <f t="shared" ref="J29:J39" si="60">AV29</f>
        <v>626.04355765762944</v>
      </c>
      <c r="K29" s="35"/>
      <c r="L29" s="23">
        <v>2.5299999999999998</v>
      </c>
      <c r="M29" s="23">
        <v>1.996</v>
      </c>
      <c r="N29" s="23">
        <v>3.5739999999999998</v>
      </c>
      <c r="O29" s="23">
        <v>0.27200000000000002</v>
      </c>
      <c r="P29" s="33"/>
      <c r="Q29" s="23">
        <v>2.3359999999999999</v>
      </c>
      <c r="R29" s="23">
        <v>0.4</v>
      </c>
      <c r="S29" s="23">
        <v>0.17599999999999999</v>
      </c>
      <c r="T29" s="23">
        <v>0.11899999999999999</v>
      </c>
      <c r="U29" s="33"/>
      <c r="V29" s="48">
        <f t="shared" ref="V29:V40" si="61">Q29*0.97/(Q29*0.97+R29+S29+T29)</f>
        <v>0.76527565756589166</v>
      </c>
      <c r="W29" s="33">
        <f t="shared" ref="W29:W40" si="62">R29/(Q29*0.97+R29+S29+T29)</f>
        <v>0.13509314672466669</v>
      </c>
      <c r="X29" s="48">
        <f t="shared" ref="X29:X40" si="63">S29/(Q29*0.97+R29+S29+T29)</f>
        <v>5.9440984558853327E-2</v>
      </c>
      <c r="Y29" s="48">
        <f t="shared" ref="Y29:Y40" si="64">T29/(Q29*0.97+R29+S29+T29)</f>
        <v>4.019021115058833E-2</v>
      </c>
      <c r="Z29" s="48"/>
      <c r="AA29" s="48">
        <f t="shared" ref="AA29:AA40" si="65">5.993*W29*W29-9.67*X29*X29-11.006*V29*W29+0.674*V29*X29-9.5725*W29*X29-22.765*W29*Y29-4.6665*X29*Y29+11.006*V29*V29*W29-0.674*V29*V29*X29-11.986*W29*W29*V29+37.966*W29*W29*X29+46.02*W29*W29*Y29+19.34*X29*X29*V29+25.746*X29*X29*W29+46.02*Y29*Y29*W29+19.145*V29*W29*X29+45.53*V29*W29*Y29+9.333*V29*X29*Y29+77.876*W29*X29*Y29</f>
        <v>-6.510520815636997E-2</v>
      </c>
      <c r="AB29" s="48">
        <f t="shared" ref="AB29:AB40" si="66">-0.034*W29*W29+0.135*X29*X29+0.024*Y29*Y29+0.1*V29*W29+0.08*V29*X29+0.048*V29*Y29-0.0515*W29*X29+0.07*W29*Y29+0.1765*X29*Y29-0.1*V29*V29*W29-0.08*V29*V29*X29-0.048*V29*V29*Y29+0.068*W29*W29*V29-0.136*W29*W29*X29-0.076*W29*W29*Y29-0.27*X29*X29*V29-0.28*X29*X29*W29-0.13*X29*X29*Y29-0.048*Y29*Y29*V29-0.076*Y29*Y29*W29-0.13*Y29*Y29*X29+0.103*V29*W29*X29-0.14*V29*W29*Y29-0.353*V29*X29*Y29-0.414*W29*X29*Y29</f>
        <v>2.9589506784164134E-3</v>
      </c>
      <c r="AC29" s="48">
        <f t="shared" ref="AC29:AC40" si="67">-5672*W29*W29+19932*X29*X29+1617*Y29*Y29+23244*V29*W29-2608*V29*X29+3234*V29*Y29+31326.5*W29*X29+45841*W29*Y29+12356*X29*Y29-23244*V29*V29*W29+2608*V29*V29*X29-3234*V29*V29*Y29+11344*W29*W29*V29-132228*W29*W29*X29-82498*W29*W29*Y29-39864*X29*X29*V29-51518*X29*X29*W29-2850*X29*X29*Y29-3234*Y29*Y29*V29-82498*Y29*Y29*W29-2850*Y29*Y29*X29-62653*V29*W29*X29-91682*V29*W29*Y29-24712*V29*X29*Y29-177221*W29*X29*Y29</f>
        <v>-9.8647007262990556</v>
      </c>
      <c r="AD29" s="48"/>
      <c r="AE29" s="48">
        <f t="shared" ref="AE29:AE40" si="68">-5.503*V29*V29-12.873*X29*X29-23.01*Y29*Y29+11.986*V29*W29-9.5725*V29*X29-22.765*V29*Y29-37.966*W29*X29-46.02*W29*Y29-38.938*X29*Y29+11.006*V29*V29*W29-0.674*V29*V29*X29-11.986*W29*W29*V29+37.966*W29*W29*X29+46.02*W29*W29*Y29+19.34*X29*X29*V29+25.746*X29*X29*W29+46.02*Y29*Y29*W29+19.145*V29*W29*X29+45.53*V29*W29*Y29+9.333*V29*X29*Y29+77.876*W29*X29*Y29</f>
        <v>-2.6711933621127786</v>
      </c>
      <c r="AF29" s="48">
        <f t="shared" ref="AF29:AF40" si="69">0.05*V29*V29+0.14*X29*X29+0.038*Y29*Y29-0.068*V29*W29-0.0515*V29*X29+0.07*V29*Y29+0.136*W29*X29+0.076*W29*Y29+0.207*X29*Y29-0.1*V29*V29*W29-0.08*V29*V29*X29-0.048*V29*V29*Y29+0.068*W29*W29*V29-0.136*W29*W29*X29-0.076*W29*W29*Y29-0.27*X29*X29*V29-0.28*X29*X29*W29-0.13*X29*X29*Y29-0.048*Y29*Y29*V29-0.076*Y29*Y29*W29-0.13*Y29*Y29*X29+0.103*V29*W29*X29-0.14*V29*W29*Y29-0.353*V29*X29*Y29-0.414*W29*X29*Y29</f>
        <v>1.183960321875379E-2</v>
      </c>
      <c r="AG29" s="48">
        <f t="shared" ref="AG29:AG40" si="70">11622*V29*V29+25759*X29*X29+41249*Y29*Y29-11344*V29*W29+31326.5*V29*X29+45841*V29*Y29+132228*W29*X29+82498*W29*Y29+88610.5*X29*Y29-23244*V29*V29*W29+2608*V29*V29*X29-3234*V29*V29*Y29+11344*W29*W29*V29-132228*W29*W29*X29-82498*W29*W29*Y29-39864*X29*X29*V29-51518*X29*X29*W29-2850*X29*X29*Y29-3234*Y29*Y29*V29-82498*Y29*Y29*W29-2850*Y29*Y29*X29-62653*V29*W29*X29-91682*V29*W29*Y29-24712*V29*X29*Y29-177221*W29*X29*Y29</f>
        <v>7454.3370397778262</v>
      </c>
      <c r="AH29" s="33"/>
      <c r="AI29" s="48">
        <f t="shared" ref="AI29:AI40" si="71">0.337*V29*V29-18.983*W29*W29-9.5725*V29*W29-19.34*V29*X29-4.6665*V29*Y29-25.746*W29*X29-38.938*W29*Y29+11.006*V29*V29*W29-0.674*V29*V29*X29-11.986*W29*W29*V29+37.966*W29*W29*X29+46.02*W29*W29*Y29+19.34*X29*X29*V29+25.746*X29*X29*W29+46.02*Y29*Y29*W29+19.145*V29*W29*X29+45.53*V29*W29*Y29+9.333*V29*X29*Y29+77.876*W29*X29*Y29</f>
        <v>-1.4016651978581267</v>
      </c>
      <c r="AJ29" s="48">
        <f t="shared" ref="AJ29:AJ40" si="72">0.04*V29*V29+0.068*W29*W29+0.065*Y29*Y29-0.0515*V29*W29+0.27*V29*X29+0.1765*V29*Y29+0.28*W29*X29+0.207*W29*Y29+0.13*X29*Y29-0.1*V29*V29*W29-0.08*V29*V29*X29-0.048*V29*V29*Y29+0.068*W29*W29*V29-0.136*W29*W29*X29-0.076*W29*W29*Y29-0.27*X29*X29*V29-0.28*X29*X29*W29-0.13*X29*X29*Y29-0.048*Y29*Y29*V29-0.076*Y29*Y29*W29-0.13*Y29*Y29*X29+0.103*V29*W29*X29-0.14*V29*W29*Y29-0.353*V29*X29*Y29-0.414*W29*X29*Y29</f>
        <v>2.8062774708379725E-2</v>
      </c>
      <c r="AK29" s="48">
        <f t="shared" ref="AK29:AK40" si="73">-1304*V29*V29+66114*W29*W29+1425*Y29*Y29+31326.5*V29*W29+39864*V29*X29+12356*V29*Y29+51518*W29*X29+88610.5*W29*Y29+2850*X29*Y29-23244*V29*V29*W29+2608*V29*V29*X29-3234*V29*V29*Y29+11344*W29*W29*V29-132228*W29*W29*X29-82498*W29*W29*Y29-39864*X29*X29*V29-51518*X29*X29*W29-2850*X29*X29*Y29-3234*Y29*Y29*V29-82498*Y29*Y29*W29-2850*Y29*Y29*X29-62653*V29*W29*X29-91682*V29*W29*Y29-24712*V29*X29*Y29-177221*W29*X29*Y29</f>
        <v>3885.6231449355537</v>
      </c>
      <c r="AL29" s="33"/>
      <c r="AM29" s="33"/>
      <c r="AN29" s="48">
        <f t="shared" ref="AN29:AN40" si="74">L29*0.884/(L29*0.884+M29+N29+O29)</f>
        <v>0.27684773943742175</v>
      </c>
      <c r="AO29" s="48">
        <f t="shared" ref="AO29:AO40" si="75">M29/(L29*0.884+M29+N29+O29)</f>
        <v>0.24707495927471865</v>
      </c>
      <c r="AP29" s="48">
        <f t="shared" ref="AP29:AP40" si="76">N29/(L29*0.884+M29+N29+O29)</f>
        <v>0.44240776775944113</v>
      </c>
      <c r="AQ29" s="48">
        <f t="shared" ref="AQ29:AQ40" si="77">O29/(L29*0.884+M29+N29+O29)</f>
        <v>3.3669533528418574E-2</v>
      </c>
      <c r="AR29" s="33"/>
      <c r="AS29" s="48"/>
      <c r="AT29" s="33">
        <f t="shared" ref="AT29:AT40" si="78">40198+(0.295-(AB29-AF29))*H29-(AC29-AG29)+22998*(AO29-AN29)+245559*AP29+310990*AQ29</f>
        <v>167996.99392204449</v>
      </c>
      <c r="AU29" s="33">
        <f t="shared" ref="AU29:AU40" si="79">7.802+3*8.3144*LN((V29/W29)/(AN29/AO29))+(AA29-AE29)+17.396*(AO29-AN29)+280.396*AP29+370.39*AQ29</f>
        <v>186.83073570908505</v>
      </c>
      <c r="AV29" s="35">
        <f t="shared" ref="AV29:AV40" si="80">AT29/AU29-273.15</f>
        <v>626.04355765762944</v>
      </c>
      <c r="AW29" s="33"/>
      <c r="AX29" s="35"/>
      <c r="AY29" s="33"/>
      <c r="AZ29" s="33"/>
      <c r="BA29" s="33"/>
      <c r="BB29" s="49"/>
      <c r="BD29" s="33"/>
      <c r="BE29" s="36"/>
      <c r="BF29" s="36"/>
      <c r="BG29" s="33"/>
      <c r="BH29" s="33"/>
      <c r="BI29" s="38"/>
    </row>
    <row r="30" spans="1:61" x14ac:dyDescent="0.55000000000000004">
      <c r="B30" s="37"/>
      <c r="C30" s="135" t="s">
        <v>176</v>
      </c>
      <c r="D30" s="158" t="s">
        <v>277</v>
      </c>
      <c r="E30" s="37" t="s">
        <v>165</v>
      </c>
      <c r="F30" s="158" t="s">
        <v>239</v>
      </c>
      <c r="H30" s="32">
        <v>6290</v>
      </c>
      <c r="J30" s="94">
        <f t="shared" si="60"/>
        <v>630.29983982660826</v>
      </c>
      <c r="K30" s="35"/>
      <c r="L30" s="23">
        <v>2.5299999999999998</v>
      </c>
      <c r="M30" s="23">
        <v>1.996</v>
      </c>
      <c r="N30" s="23">
        <v>3.5739999999999998</v>
      </c>
      <c r="O30" s="23">
        <v>0.27200000000000002</v>
      </c>
      <c r="P30" s="33"/>
      <c r="Q30" s="23">
        <v>2.335</v>
      </c>
      <c r="R30" s="23">
        <v>0.41899999999999998</v>
      </c>
      <c r="S30" s="23">
        <v>0.16600000000000001</v>
      </c>
      <c r="T30" s="23">
        <v>0.1</v>
      </c>
      <c r="U30" s="33"/>
      <c r="V30" s="48">
        <f t="shared" si="61"/>
        <v>0.7677926744521093</v>
      </c>
      <c r="W30" s="33">
        <f t="shared" si="62"/>
        <v>0.14203630570009662</v>
      </c>
      <c r="X30" s="48">
        <f t="shared" si="63"/>
        <v>5.6272140205766208E-2</v>
      </c>
      <c r="Y30" s="48">
        <f t="shared" si="64"/>
        <v>3.3898879642027833E-2</v>
      </c>
      <c r="Z30" s="48"/>
      <c r="AA30" s="48">
        <f t="shared" si="65"/>
        <v>-0.10108501124022078</v>
      </c>
      <c r="AB30" s="48">
        <f t="shared" si="66"/>
        <v>3.1290591598214308E-3</v>
      </c>
      <c r="AC30" s="48">
        <f t="shared" si="67"/>
        <v>51.867740475870193</v>
      </c>
      <c r="AD30" s="48"/>
      <c r="AE30" s="48">
        <f t="shared" si="68"/>
        <v>-2.4347438620571502</v>
      </c>
      <c r="AF30" s="48">
        <f t="shared" si="69"/>
        <v>1.147783859608247E-2</v>
      </c>
      <c r="AG30" s="48">
        <f t="shared" si="70"/>
        <v>7013.0798488899982</v>
      </c>
      <c r="AH30" s="33"/>
      <c r="AI30" s="48">
        <f t="shared" si="71"/>
        <v>-1.4037522038685071</v>
      </c>
      <c r="AJ30" s="48">
        <f t="shared" si="72"/>
        <v>2.6638980491969461E-2</v>
      </c>
      <c r="AK30" s="48">
        <f t="shared" si="73"/>
        <v>3971.1006187483231</v>
      </c>
      <c r="AL30" s="33"/>
      <c r="AM30" s="33"/>
      <c r="AN30" s="48">
        <f t="shared" si="74"/>
        <v>0.27684773943742175</v>
      </c>
      <c r="AO30" s="48">
        <f t="shared" si="75"/>
        <v>0.24707495927471865</v>
      </c>
      <c r="AP30" s="48">
        <f t="shared" si="76"/>
        <v>0.44240776775944113</v>
      </c>
      <c r="AQ30" s="48">
        <f t="shared" si="77"/>
        <v>3.3669533528418574E-2</v>
      </c>
      <c r="AR30" s="33"/>
      <c r="AS30" s="48"/>
      <c r="AT30" s="33">
        <f t="shared" si="78"/>
        <v>167490.65880812987</v>
      </c>
      <c r="AU30" s="33">
        <f t="shared" si="79"/>
        <v>185.39010294171393</v>
      </c>
      <c r="AV30" s="35">
        <f t="shared" si="80"/>
        <v>630.29983982660826</v>
      </c>
      <c r="AW30" s="33"/>
      <c r="AX30" s="35"/>
      <c r="AY30" s="33"/>
      <c r="AZ30" s="33"/>
      <c r="BA30" s="33"/>
      <c r="BB30" s="49"/>
      <c r="BD30" s="33"/>
      <c r="BE30" s="36"/>
      <c r="BF30" s="36"/>
      <c r="BG30" s="33"/>
      <c r="BH30" s="33"/>
      <c r="BI30" s="38"/>
    </row>
    <row r="31" spans="1:61" x14ac:dyDescent="0.55000000000000004">
      <c r="B31" s="37"/>
      <c r="C31" s="135" t="s">
        <v>176</v>
      </c>
      <c r="D31" s="158" t="s">
        <v>277</v>
      </c>
      <c r="E31" s="37" t="s">
        <v>166</v>
      </c>
      <c r="F31" s="158" t="s">
        <v>240</v>
      </c>
      <c r="H31" s="32">
        <v>6290</v>
      </c>
      <c r="J31" s="94">
        <f t="shared" si="60"/>
        <v>631.19410574192284</v>
      </c>
      <c r="K31" s="35"/>
      <c r="L31" s="23">
        <v>2.5299999999999998</v>
      </c>
      <c r="M31" s="23">
        <v>1.996</v>
      </c>
      <c r="N31" s="23">
        <v>3.5739999999999998</v>
      </c>
      <c r="O31" s="23">
        <v>0.27200000000000002</v>
      </c>
      <c r="P31" s="33"/>
      <c r="Q31" s="23">
        <v>2.3719999999999999</v>
      </c>
      <c r="R31" s="23">
        <v>0.43099999999999999</v>
      </c>
      <c r="S31" s="23">
        <v>0.16300000000000001</v>
      </c>
      <c r="T31" s="23">
        <v>9.0999999999999998E-2</v>
      </c>
      <c r="U31" s="33"/>
      <c r="V31" s="48">
        <f t="shared" si="61"/>
        <v>0.77058382230796019</v>
      </c>
      <c r="W31" s="33">
        <f t="shared" si="62"/>
        <v>0.14434798917557537</v>
      </c>
      <c r="X31" s="48">
        <f t="shared" si="63"/>
        <v>5.4591002866864934E-2</v>
      </c>
      <c r="Y31" s="48">
        <f t="shared" si="64"/>
        <v>3.0477185649599441E-2</v>
      </c>
      <c r="Z31" s="48"/>
      <c r="AA31" s="48">
        <f t="shared" si="65"/>
        <v>-0.11875309887480562</v>
      </c>
      <c r="AB31" s="48">
        <f t="shared" si="66"/>
        <v>3.1787468209596515E-3</v>
      </c>
      <c r="AC31" s="48">
        <f t="shared" si="67"/>
        <v>83.568483449182366</v>
      </c>
      <c r="AD31" s="48"/>
      <c r="AE31" s="48">
        <f t="shared" si="68"/>
        <v>-2.3335209849698684</v>
      </c>
      <c r="AF31" s="48">
        <f t="shared" si="69"/>
        <v>1.1457577012207841E-2</v>
      </c>
      <c r="AG31" s="48">
        <f t="shared" si="70"/>
        <v>6821.1733853082642</v>
      </c>
      <c r="AH31" s="33"/>
      <c r="AI31" s="48">
        <f t="shared" si="71"/>
        <v>-1.3931380766974726</v>
      </c>
      <c r="AJ31" s="48">
        <f t="shared" si="72"/>
        <v>2.5988273538300206E-2</v>
      </c>
      <c r="AK31" s="48">
        <f t="shared" si="73"/>
        <v>3976.8182717544346</v>
      </c>
      <c r="AL31" s="33"/>
      <c r="AM31" s="33"/>
      <c r="AN31" s="48">
        <f t="shared" si="74"/>
        <v>0.27684773943742175</v>
      </c>
      <c r="AO31" s="48">
        <f t="shared" si="75"/>
        <v>0.24707495927471865</v>
      </c>
      <c r="AP31" s="48">
        <f t="shared" si="76"/>
        <v>0.44240776775944113</v>
      </c>
      <c r="AQ31" s="48">
        <f t="shared" si="77"/>
        <v>3.3669533528418574E-2</v>
      </c>
      <c r="AR31" s="33"/>
      <c r="AS31" s="48"/>
      <c r="AT31" s="33">
        <f t="shared" si="78"/>
        <v>167266.61162082368</v>
      </c>
      <c r="AU31" s="33">
        <f t="shared" si="79"/>
        <v>184.95903335777078</v>
      </c>
      <c r="AV31" s="35">
        <f t="shared" si="80"/>
        <v>631.19410574192284</v>
      </c>
      <c r="AW31" s="33"/>
      <c r="AX31" s="35"/>
      <c r="AY31" s="33"/>
      <c r="AZ31" s="33"/>
      <c r="BA31" s="33"/>
      <c r="BB31" s="49"/>
      <c r="BD31" s="33"/>
      <c r="BE31" s="36"/>
      <c r="BF31" s="36"/>
      <c r="BG31" s="33"/>
      <c r="BH31" s="33"/>
      <c r="BI31" s="38"/>
    </row>
    <row r="32" spans="1:61" x14ac:dyDescent="0.55000000000000004">
      <c r="B32" s="37"/>
      <c r="C32" s="135" t="s">
        <v>176</v>
      </c>
      <c r="D32" s="158" t="s">
        <v>277</v>
      </c>
      <c r="E32" s="37" t="s">
        <v>167</v>
      </c>
      <c r="F32" s="158" t="s">
        <v>241</v>
      </c>
      <c r="H32" s="32">
        <v>6290</v>
      </c>
      <c r="J32" s="94">
        <f t="shared" si="60"/>
        <v>632.84321475691922</v>
      </c>
      <c r="K32" s="35"/>
      <c r="L32" s="23">
        <v>2.5299999999999998</v>
      </c>
      <c r="M32" s="23">
        <v>1.996</v>
      </c>
      <c r="N32" s="23">
        <v>3.5739999999999998</v>
      </c>
      <c r="O32" s="23">
        <v>0.27200000000000002</v>
      </c>
      <c r="P32" s="33"/>
      <c r="Q32" s="23">
        <v>2.3559999999999999</v>
      </c>
      <c r="R32" s="23">
        <v>0.435</v>
      </c>
      <c r="S32" s="23">
        <v>0.16200000000000001</v>
      </c>
      <c r="T32" s="23">
        <v>8.5999999999999993E-2</v>
      </c>
      <c r="U32" s="33"/>
      <c r="V32" s="48">
        <f t="shared" si="61"/>
        <v>0.7699035144458819</v>
      </c>
      <c r="W32" s="33">
        <f t="shared" si="62"/>
        <v>0.14654754204398449</v>
      </c>
      <c r="X32" s="48">
        <f t="shared" si="63"/>
        <v>5.4576326002587328E-2</v>
      </c>
      <c r="Y32" s="48">
        <f t="shared" si="64"/>
        <v>2.8972617507546355E-2</v>
      </c>
      <c r="Z32" s="48"/>
      <c r="AA32" s="48">
        <f t="shared" si="65"/>
        <v>-0.12757463063142033</v>
      </c>
      <c r="AB32" s="48">
        <f t="shared" si="66"/>
        <v>3.2420606558631274E-3</v>
      </c>
      <c r="AC32" s="48">
        <f t="shared" si="67"/>
        <v>96.546250111702975</v>
      </c>
      <c r="AD32" s="48"/>
      <c r="AE32" s="48">
        <f t="shared" si="68"/>
        <v>-2.2712803447120868</v>
      </c>
      <c r="AF32" s="48">
        <f t="shared" si="69"/>
        <v>1.1220085550017496E-2</v>
      </c>
      <c r="AG32" s="48">
        <f t="shared" si="70"/>
        <v>6714.965938617479</v>
      </c>
      <c r="AH32" s="33"/>
      <c r="AI32" s="48">
        <f t="shared" si="71"/>
        <v>-1.4093611095334939</v>
      </c>
      <c r="AJ32" s="48">
        <f t="shared" si="72"/>
        <v>2.5690990097623798E-2</v>
      </c>
      <c r="AK32" s="48">
        <f t="shared" si="73"/>
        <v>4033.8265023312688</v>
      </c>
      <c r="AL32" s="33"/>
      <c r="AM32" s="33"/>
      <c r="AN32" s="48">
        <f t="shared" si="74"/>
        <v>0.27684773943742175</v>
      </c>
      <c r="AO32" s="48">
        <f t="shared" si="75"/>
        <v>0.24707495927471865</v>
      </c>
      <c r="AP32" s="48">
        <f t="shared" si="76"/>
        <v>0.44240776775944113</v>
      </c>
      <c r="AQ32" s="48">
        <f t="shared" si="77"/>
        <v>3.3669533528418574E-2</v>
      </c>
      <c r="AR32" s="33"/>
      <c r="AS32" s="48"/>
      <c r="AT32" s="33">
        <f t="shared" si="78"/>
        <v>167145.53434215166</v>
      </c>
      <c r="AU32" s="33">
        <f t="shared" si="79"/>
        <v>184.48872642715909</v>
      </c>
      <c r="AV32" s="35">
        <f t="shared" si="80"/>
        <v>632.84321475691922</v>
      </c>
      <c r="AW32" s="33"/>
      <c r="AX32" s="35"/>
      <c r="AY32" s="33"/>
      <c r="AZ32" s="33"/>
      <c r="BA32" s="33"/>
      <c r="BB32" s="49"/>
      <c r="BD32" s="33"/>
      <c r="BE32" s="36"/>
      <c r="BF32" s="36"/>
      <c r="BG32" s="33"/>
      <c r="BH32" s="33"/>
      <c r="BI32" s="38"/>
    </row>
    <row r="33" spans="2:61" x14ac:dyDescent="0.55000000000000004">
      <c r="B33" s="37"/>
      <c r="C33" s="135" t="s">
        <v>176</v>
      </c>
      <c r="D33" s="158" t="s">
        <v>277</v>
      </c>
      <c r="E33" s="37" t="s">
        <v>168</v>
      </c>
      <c r="F33" s="158" t="s">
        <v>242</v>
      </c>
      <c r="H33" s="32">
        <v>6290</v>
      </c>
      <c r="J33" s="94">
        <f t="shared" si="60"/>
        <v>631.79407077855512</v>
      </c>
      <c r="K33" s="35"/>
      <c r="L33" s="23">
        <v>2.5299999999999998</v>
      </c>
      <c r="M33" s="23">
        <v>1.996</v>
      </c>
      <c r="N33" s="23">
        <v>3.5739999999999998</v>
      </c>
      <c r="O33" s="23">
        <v>0.27200000000000002</v>
      </c>
      <c r="P33" s="33"/>
      <c r="Q33" s="23">
        <v>2.3860000000000001</v>
      </c>
      <c r="R33" s="23">
        <v>0.437</v>
      </c>
      <c r="S33" s="23">
        <v>0.16300000000000001</v>
      </c>
      <c r="T33" s="23">
        <v>8.2000000000000003E-2</v>
      </c>
      <c r="U33" s="33"/>
      <c r="V33" s="48">
        <f t="shared" si="61"/>
        <v>0.77239505810266929</v>
      </c>
      <c r="W33" s="33">
        <f t="shared" si="62"/>
        <v>0.14584070323919879</v>
      </c>
      <c r="X33" s="48">
        <f t="shared" si="63"/>
        <v>5.4398248576634792E-2</v>
      </c>
      <c r="Y33" s="48">
        <f t="shared" si="64"/>
        <v>2.7365990081497257E-2</v>
      </c>
      <c r="Z33" s="48"/>
      <c r="AA33" s="48">
        <f t="shared" si="65"/>
        <v>-0.13117606919157065</v>
      </c>
      <c r="AB33" s="48">
        <f t="shared" si="66"/>
        <v>3.2172297869249951E-3</v>
      </c>
      <c r="AC33" s="48">
        <f t="shared" si="67"/>
        <v>103.33504796637868</v>
      </c>
      <c r="AD33" s="48"/>
      <c r="AE33" s="48">
        <f t="shared" si="68"/>
        <v>-2.2592493791112944</v>
      </c>
      <c r="AF33" s="48">
        <f t="shared" si="69"/>
        <v>1.1367416937361974E-2</v>
      </c>
      <c r="AG33" s="48">
        <f t="shared" si="70"/>
        <v>6695.0351254742454</v>
      </c>
      <c r="AH33" s="33"/>
      <c r="AI33" s="48">
        <f t="shared" si="71"/>
        <v>-1.3967344365105661</v>
      </c>
      <c r="AJ33" s="48">
        <f t="shared" si="72"/>
        <v>2.5622607335754798E-2</v>
      </c>
      <c r="AK33" s="48">
        <f t="shared" si="73"/>
        <v>3997.6621792786846</v>
      </c>
      <c r="AL33" s="33"/>
      <c r="AM33" s="33"/>
      <c r="AN33" s="48">
        <f t="shared" si="74"/>
        <v>0.27684773943742175</v>
      </c>
      <c r="AO33" s="48">
        <f t="shared" si="75"/>
        <v>0.24707495927471865</v>
      </c>
      <c r="AP33" s="48">
        <f t="shared" si="76"/>
        <v>0.44240776775944113</v>
      </c>
      <c r="AQ33" s="48">
        <f t="shared" si="77"/>
        <v>3.3669533528418574E-2</v>
      </c>
      <c r="AR33" s="33"/>
      <c r="AS33" s="48"/>
      <c r="AT33" s="33">
        <f t="shared" si="78"/>
        <v>167119.89763174576</v>
      </c>
      <c r="AU33" s="33">
        <f t="shared" si="79"/>
        <v>184.67428322721275</v>
      </c>
      <c r="AV33" s="35">
        <f t="shared" si="80"/>
        <v>631.79407077855512</v>
      </c>
      <c r="AW33" s="33"/>
      <c r="AX33" s="35"/>
      <c r="AY33" s="33"/>
      <c r="AZ33" s="33"/>
      <c r="BA33" s="33"/>
      <c r="BB33" s="49"/>
      <c r="BD33" s="33"/>
      <c r="BE33" s="36"/>
      <c r="BF33" s="36"/>
      <c r="BG33" s="33"/>
      <c r="BH33" s="33"/>
      <c r="BI33" s="38"/>
    </row>
    <row r="34" spans="2:61" x14ac:dyDescent="0.55000000000000004">
      <c r="B34" s="37"/>
      <c r="C34" s="135" t="s">
        <v>176</v>
      </c>
      <c r="D34" s="158" t="s">
        <v>277</v>
      </c>
      <c r="E34" s="37" t="s">
        <v>169</v>
      </c>
      <c r="F34" s="158" t="s">
        <v>243</v>
      </c>
      <c r="H34" s="32">
        <v>6290</v>
      </c>
      <c r="J34" s="94">
        <f t="shared" si="60"/>
        <v>632.36612762969264</v>
      </c>
      <c r="K34" s="35"/>
      <c r="L34" s="23">
        <v>2.5299999999999998</v>
      </c>
      <c r="M34" s="23">
        <v>1.996</v>
      </c>
      <c r="N34" s="23">
        <v>3.5739999999999998</v>
      </c>
      <c r="O34" s="23">
        <v>0.27200000000000002</v>
      </c>
      <c r="P34" s="33"/>
      <c r="Q34" s="23">
        <v>2.3809999999999998</v>
      </c>
      <c r="R34" s="23">
        <v>0.438</v>
      </c>
      <c r="S34" s="23">
        <v>0.16800000000000001</v>
      </c>
      <c r="T34" s="23">
        <v>7.6999999999999999E-2</v>
      </c>
      <c r="U34" s="33"/>
      <c r="V34" s="48">
        <f t="shared" si="61"/>
        <v>0.77176807894218002</v>
      </c>
      <c r="W34" s="33">
        <f t="shared" si="62"/>
        <v>0.14636249110296501</v>
      </c>
      <c r="X34" s="48">
        <f t="shared" si="63"/>
        <v>5.6139037683329042E-2</v>
      </c>
      <c r="Y34" s="48">
        <f t="shared" si="64"/>
        <v>2.573039227152581E-2</v>
      </c>
      <c r="Z34" s="48"/>
      <c r="AA34" s="48">
        <f t="shared" si="65"/>
        <v>-0.1334543929395772</v>
      </c>
      <c r="AB34" s="48">
        <f t="shared" si="66"/>
        <v>3.2459459783334343E-3</v>
      </c>
      <c r="AC34" s="48">
        <f t="shared" si="67"/>
        <v>101.93530396400406</v>
      </c>
      <c r="AD34" s="48"/>
      <c r="AE34" s="48">
        <f t="shared" si="68"/>
        <v>-2.2341559086314819</v>
      </c>
      <c r="AF34" s="48">
        <f t="shared" si="69"/>
        <v>1.1150428530668343E-2</v>
      </c>
      <c r="AG34" s="48">
        <f t="shared" si="70"/>
        <v>6677.0323053336015</v>
      </c>
      <c r="AH34" s="33"/>
      <c r="AI34" s="48">
        <f t="shared" si="71"/>
        <v>-1.422220785680941</v>
      </c>
      <c r="AJ34" s="48">
        <f t="shared" si="72"/>
        <v>2.5700912138138181E-2</v>
      </c>
      <c r="AK34" s="48">
        <f t="shared" si="73"/>
        <v>4047.6175248478899</v>
      </c>
      <c r="AL34" s="33"/>
      <c r="AM34" s="33"/>
      <c r="AN34" s="48">
        <f t="shared" si="74"/>
        <v>0.27684773943742175</v>
      </c>
      <c r="AO34" s="48">
        <f t="shared" si="75"/>
        <v>0.24707495927471865</v>
      </c>
      <c r="AP34" s="48">
        <f t="shared" si="76"/>
        <v>0.44240776775944113</v>
      </c>
      <c r="AQ34" s="48">
        <f t="shared" si="77"/>
        <v>3.3669533528418574E-2</v>
      </c>
      <c r="AR34" s="33"/>
      <c r="AS34" s="48"/>
      <c r="AT34" s="33">
        <f t="shared" si="78"/>
        <v>167101.74907368544</v>
      </c>
      <c r="AU34" s="33">
        <f t="shared" si="79"/>
        <v>184.53757362786703</v>
      </c>
      <c r="AV34" s="35">
        <f t="shared" si="80"/>
        <v>632.36612762969264</v>
      </c>
      <c r="AW34" s="33"/>
      <c r="AX34" s="35"/>
      <c r="AY34" s="33"/>
      <c r="AZ34" s="33"/>
      <c r="BA34" s="33"/>
      <c r="BB34" s="49"/>
      <c r="BD34" s="33"/>
      <c r="BE34" s="36"/>
      <c r="BF34" s="36"/>
      <c r="BG34" s="33"/>
      <c r="BH34" s="33"/>
      <c r="BI34" s="38"/>
    </row>
    <row r="35" spans="2:61" x14ac:dyDescent="0.55000000000000004">
      <c r="B35" s="37"/>
      <c r="C35" s="135" t="s">
        <v>176</v>
      </c>
      <c r="D35" s="158" t="s">
        <v>277</v>
      </c>
      <c r="E35" s="37" t="s">
        <v>170</v>
      </c>
      <c r="F35" s="158" t="s">
        <v>244</v>
      </c>
      <c r="H35" s="32">
        <v>6290</v>
      </c>
      <c r="J35" s="94">
        <f t="shared" si="60"/>
        <v>633.60346671122397</v>
      </c>
      <c r="K35" s="35"/>
      <c r="L35" s="23">
        <v>2.5299999999999998</v>
      </c>
      <c r="M35" s="23">
        <v>1.996</v>
      </c>
      <c r="N35" s="23">
        <v>3.5739999999999998</v>
      </c>
      <c r="O35" s="23">
        <v>0.27200000000000002</v>
      </c>
      <c r="P35" s="33"/>
      <c r="Q35" s="23">
        <v>2.367</v>
      </c>
      <c r="R35" s="23">
        <v>0.44</v>
      </c>
      <c r="S35" s="23">
        <v>0.16900000000000001</v>
      </c>
      <c r="T35" s="23">
        <v>7.6999999999999999E-2</v>
      </c>
      <c r="U35" s="33"/>
      <c r="V35" s="48">
        <f t="shared" si="61"/>
        <v>0.76995228018873307</v>
      </c>
      <c r="W35" s="33">
        <f t="shared" si="62"/>
        <v>0.14755247334833452</v>
      </c>
      <c r="X35" s="48">
        <f t="shared" si="63"/>
        <v>5.6673563626973941E-2</v>
      </c>
      <c r="Y35" s="48">
        <f t="shared" si="64"/>
        <v>2.5821682835958541E-2</v>
      </c>
      <c r="Z35" s="48"/>
      <c r="AA35" s="48">
        <f t="shared" si="65"/>
        <v>-0.13455990173100732</v>
      </c>
      <c r="AB35" s="48">
        <f t="shared" si="66"/>
        <v>3.2863222298644139E-3</v>
      </c>
      <c r="AC35" s="48">
        <f t="shared" si="67"/>
        <v>101.45630902349778</v>
      </c>
      <c r="AD35" s="48"/>
      <c r="AE35" s="48">
        <f t="shared" si="68"/>
        <v>-2.2168172996933722</v>
      </c>
      <c r="AF35" s="48">
        <f t="shared" si="69"/>
        <v>1.0941772095418625E-2</v>
      </c>
      <c r="AG35" s="48">
        <f t="shared" si="70"/>
        <v>6653.3108173471846</v>
      </c>
      <c r="AH35" s="33"/>
      <c r="AI35" s="48">
        <f t="shared" si="71"/>
        <v>-1.4407771634623812</v>
      </c>
      <c r="AJ35" s="48">
        <f t="shared" si="72"/>
        <v>2.5673800064223495E-2</v>
      </c>
      <c r="AK35" s="48">
        <f t="shared" si="73"/>
        <v>4097.9633814391873</v>
      </c>
      <c r="AL35" s="33"/>
      <c r="AM35" s="33"/>
      <c r="AN35" s="48">
        <f t="shared" si="74"/>
        <v>0.27684773943742175</v>
      </c>
      <c r="AO35" s="48">
        <f t="shared" si="75"/>
        <v>0.24707495927471865</v>
      </c>
      <c r="AP35" s="48">
        <f t="shared" si="76"/>
        <v>0.44240776775944113</v>
      </c>
      <c r="AQ35" s="48">
        <f t="shared" si="77"/>
        <v>3.3669533528418574E-2</v>
      </c>
      <c r="AR35" s="33"/>
      <c r="AS35" s="48"/>
      <c r="AT35" s="33">
        <f t="shared" si="78"/>
        <v>167076.94016503968</v>
      </c>
      <c r="AU35" s="33">
        <f t="shared" si="79"/>
        <v>184.25839690585829</v>
      </c>
      <c r="AV35" s="35">
        <f t="shared" si="80"/>
        <v>633.60346671122397</v>
      </c>
      <c r="AW35" s="33"/>
      <c r="AX35" s="35"/>
      <c r="AY35" s="33"/>
      <c r="AZ35" s="33"/>
      <c r="BA35" s="33"/>
      <c r="BB35" s="49"/>
      <c r="BD35" s="33"/>
      <c r="BE35" s="36"/>
      <c r="BF35" s="36"/>
      <c r="BG35" s="33"/>
      <c r="BH35" s="33"/>
      <c r="BI35" s="38"/>
    </row>
    <row r="36" spans="2:61" x14ac:dyDescent="0.55000000000000004">
      <c r="B36" s="37"/>
      <c r="C36" s="135" t="s">
        <v>176</v>
      </c>
      <c r="D36" s="158" t="s">
        <v>277</v>
      </c>
      <c r="E36" s="37" t="s">
        <v>171</v>
      </c>
      <c r="F36" s="158" t="s">
        <v>245</v>
      </c>
      <c r="H36" s="32">
        <v>6290</v>
      </c>
      <c r="J36" s="94">
        <f t="shared" si="60"/>
        <v>635.47956681322296</v>
      </c>
      <c r="K36" s="35"/>
      <c r="L36" s="23">
        <v>2.5299999999999998</v>
      </c>
      <c r="M36" s="23">
        <v>1.996</v>
      </c>
      <c r="N36" s="23">
        <v>3.5739999999999998</v>
      </c>
      <c r="O36" s="23">
        <v>0.27200000000000002</v>
      </c>
      <c r="P36" s="33"/>
      <c r="Q36" s="23">
        <v>2.3650000000000002</v>
      </c>
      <c r="R36" s="23">
        <v>0.44700000000000001</v>
      </c>
      <c r="S36" s="23">
        <v>0.17299999999999999</v>
      </c>
      <c r="T36" s="23">
        <v>7.1999999999999995E-2</v>
      </c>
      <c r="U36" s="33"/>
      <c r="V36" s="48">
        <f t="shared" si="61"/>
        <v>0.7682557224426918</v>
      </c>
      <c r="W36" s="33">
        <f t="shared" si="62"/>
        <v>0.14969608680363691</v>
      </c>
      <c r="X36" s="48">
        <f t="shared" si="63"/>
        <v>5.7936069389327029E-2</v>
      </c>
      <c r="Y36" s="48">
        <f t="shared" si="64"/>
        <v>2.4112121364344197E-2</v>
      </c>
      <c r="Z36" s="48"/>
      <c r="AA36" s="48">
        <f t="shared" si="65"/>
        <v>-0.14150638656431416</v>
      </c>
      <c r="AB36" s="48">
        <f t="shared" si="66"/>
        <v>3.3599679919790759E-3</v>
      </c>
      <c r="AC36" s="48">
        <f t="shared" si="67"/>
        <v>107.77226366211062</v>
      </c>
      <c r="AD36" s="48"/>
      <c r="AE36" s="48">
        <f t="shared" si="68"/>
        <v>-2.1595431611772211</v>
      </c>
      <c r="AF36" s="48">
        <f t="shared" si="69"/>
        <v>1.0581738476979482E-2</v>
      </c>
      <c r="AG36" s="48">
        <f t="shared" si="70"/>
        <v>6572.8032585799347</v>
      </c>
      <c r="AH36" s="33"/>
      <c r="AI36" s="48">
        <f t="shared" si="71"/>
        <v>-1.4743587011163088</v>
      </c>
      <c r="AJ36" s="48">
        <f t="shared" si="72"/>
        <v>2.5543602199478162E-2</v>
      </c>
      <c r="AK36" s="48">
        <f t="shared" si="73"/>
        <v>4184.8964703343363</v>
      </c>
      <c r="AL36" s="33"/>
      <c r="AM36" s="33"/>
      <c r="AN36" s="48">
        <f t="shared" si="74"/>
        <v>0.27684773943742175</v>
      </c>
      <c r="AO36" s="48">
        <f t="shared" si="75"/>
        <v>0.24707495927471865</v>
      </c>
      <c r="AP36" s="48">
        <f t="shared" si="76"/>
        <v>0.44240776775944113</v>
      </c>
      <c r="AQ36" s="48">
        <f t="shared" si="77"/>
        <v>3.3669533528418574E-2</v>
      </c>
      <c r="AR36" s="33"/>
      <c r="AS36" s="48"/>
      <c r="AT36" s="33">
        <f t="shared" si="78"/>
        <v>166987.38880833011</v>
      </c>
      <c r="AU36" s="33">
        <f t="shared" si="79"/>
        <v>183.77939141249175</v>
      </c>
      <c r="AV36" s="35">
        <f t="shared" si="80"/>
        <v>635.47956681322296</v>
      </c>
      <c r="AW36" s="33"/>
      <c r="AX36" s="35"/>
      <c r="AY36" s="33"/>
      <c r="AZ36" s="33"/>
      <c r="BA36" s="33"/>
      <c r="BB36" s="49"/>
      <c r="BD36" s="33"/>
      <c r="BE36" s="36"/>
      <c r="BF36" s="36"/>
      <c r="BG36" s="33"/>
      <c r="BH36" s="33"/>
      <c r="BI36" s="38"/>
    </row>
    <row r="37" spans="2:61" x14ac:dyDescent="0.55000000000000004">
      <c r="B37" s="37"/>
      <c r="C37" s="135" t="s">
        <v>176</v>
      </c>
      <c r="D37" s="158" t="s">
        <v>277</v>
      </c>
      <c r="E37" s="37" t="s">
        <v>172</v>
      </c>
      <c r="F37" s="158" t="s">
        <v>246</v>
      </c>
      <c r="H37" s="32">
        <v>6290</v>
      </c>
      <c r="J37" s="94">
        <f t="shared" si="60"/>
        <v>635.68350647136799</v>
      </c>
      <c r="K37" s="35"/>
      <c r="L37" s="23">
        <v>2.5299999999999998</v>
      </c>
      <c r="M37" s="23">
        <v>1.996</v>
      </c>
      <c r="N37" s="23">
        <v>3.5739999999999998</v>
      </c>
      <c r="O37" s="23">
        <v>0.27200000000000002</v>
      </c>
      <c r="P37" s="33"/>
      <c r="Q37" s="23">
        <v>2.383</v>
      </c>
      <c r="R37" s="23">
        <v>0.45200000000000001</v>
      </c>
      <c r="S37" s="23">
        <v>0.17299999999999999</v>
      </c>
      <c r="T37" s="23">
        <v>6.7000000000000004E-2</v>
      </c>
      <c r="U37" s="33"/>
      <c r="V37" s="48">
        <f t="shared" si="61"/>
        <v>0.76960289794274028</v>
      </c>
      <c r="W37" s="33">
        <f t="shared" si="62"/>
        <v>0.150490592673239</v>
      </c>
      <c r="X37" s="48">
        <f t="shared" si="63"/>
        <v>5.7599275514314915E-2</v>
      </c>
      <c r="Y37" s="48">
        <f t="shared" si="64"/>
        <v>2.2307233869705779E-2</v>
      </c>
      <c r="Z37" s="48"/>
      <c r="AA37" s="48">
        <f t="shared" si="65"/>
        <v>-0.14937161006207986</v>
      </c>
      <c r="AB37" s="48">
        <f t="shared" si="66"/>
        <v>3.3796015480566113E-3</v>
      </c>
      <c r="AC37" s="48">
        <f t="shared" si="67"/>
        <v>120.99308274187183</v>
      </c>
      <c r="AD37" s="48"/>
      <c r="AE37" s="48">
        <f t="shared" si="68"/>
        <v>-2.1169083098120423</v>
      </c>
      <c r="AF37" s="48">
        <f t="shared" si="69"/>
        <v>1.0563268172212618E-2</v>
      </c>
      <c r="AG37" s="48">
        <f t="shared" si="70"/>
        <v>6497.5665307695581</v>
      </c>
      <c r="AH37" s="33"/>
      <c r="AI37" s="48">
        <f t="shared" si="71"/>
        <v>-1.4731019958283398</v>
      </c>
      <c r="AJ37" s="48">
        <f t="shared" si="72"/>
        <v>2.5309408997688826E-2</v>
      </c>
      <c r="AK37" s="48">
        <f t="shared" si="73"/>
        <v>4190.0059577813972</v>
      </c>
      <c r="AL37" s="33"/>
      <c r="AM37" s="33"/>
      <c r="AN37" s="48">
        <f t="shared" si="74"/>
        <v>0.27684773943742175</v>
      </c>
      <c r="AO37" s="48">
        <f t="shared" si="75"/>
        <v>0.24707495927471865</v>
      </c>
      <c r="AP37" s="48">
        <f t="shared" si="76"/>
        <v>0.44240776775944113</v>
      </c>
      <c r="AQ37" s="48">
        <f t="shared" si="77"/>
        <v>3.3669533528418574E-2</v>
      </c>
      <c r="AR37" s="33"/>
      <c r="AS37" s="48"/>
      <c r="AT37" s="33">
        <f t="shared" si="78"/>
        <v>166898.69158815528</v>
      </c>
      <c r="AU37" s="33">
        <f t="shared" si="79"/>
        <v>183.64055726351378</v>
      </c>
      <c r="AV37" s="35">
        <f t="shared" si="80"/>
        <v>635.68350647136799</v>
      </c>
      <c r="AW37" s="33"/>
      <c r="AX37" s="35"/>
      <c r="AY37" s="33"/>
      <c r="AZ37" s="33"/>
      <c r="BA37" s="33"/>
      <c r="BB37" s="49"/>
      <c r="BD37" s="33"/>
      <c r="BE37" s="36"/>
      <c r="BF37" s="36"/>
      <c r="BG37" s="33"/>
      <c r="BH37" s="33"/>
      <c r="BI37" s="38"/>
    </row>
    <row r="38" spans="2:61" x14ac:dyDescent="0.55000000000000004">
      <c r="B38" s="37"/>
      <c r="C38" s="135" t="s">
        <v>176</v>
      </c>
      <c r="D38" s="158" t="s">
        <v>277</v>
      </c>
      <c r="E38" s="37" t="s">
        <v>173</v>
      </c>
      <c r="F38" s="158" t="s">
        <v>247</v>
      </c>
      <c r="H38" s="32">
        <v>6290</v>
      </c>
      <c r="J38" s="94">
        <f t="shared" si="60"/>
        <v>635.4358613426549</v>
      </c>
      <c r="K38" s="35"/>
      <c r="L38" s="23">
        <v>2.5299999999999998</v>
      </c>
      <c r="M38" s="23">
        <v>1.996</v>
      </c>
      <c r="N38" s="23">
        <v>3.5739999999999998</v>
      </c>
      <c r="O38" s="23">
        <v>0.27200000000000002</v>
      </c>
      <c r="P38" s="33"/>
      <c r="Q38" s="23">
        <v>2.3820000000000001</v>
      </c>
      <c r="R38" s="23">
        <v>0.45200000000000001</v>
      </c>
      <c r="S38" s="23">
        <v>0.16800000000000001</v>
      </c>
      <c r="T38" s="23">
        <v>6.3E-2</v>
      </c>
      <c r="U38" s="33"/>
      <c r="V38" s="48">
        <f t="shared" si="61"/>
        <v>0.77184203317811018</v>
      </c>
      <c r="W38" s="33">
        <f t="shared" si="62"/>
        <v>0.15099180234772208</v>
      </c>
      <c r="X38" s="48">
        <f t="shared" si="63"/>
        <v>5.6120846890303784E-2</v>
      </c>
      <c r="Y38" s="48">
        <f t="shared" si="64"/>
        <v>2.104531758386392E-2</v>
      </c>
      <c r="Z38" s="48"/>
      <c r="AA38" s="48">
        <f t="shared" si="65"/>
        <v>-0.15742000188510874</v>
      </c>
      <c r="AB38" s="48">
        <f t="shared" si="66"/>
        <v>3.3806179837450167E-3</v>
      </c>
      <c r="AC38" s="48">
        <f t="shared" si="67"/>
        <v>137.95253504721734</v>
      </c>
      <c r="AD38" s="48"/>
      <c r="AE38" s="48">
        <f t="shared" si="68"/>
        <v>-2.0817625638074255</v>
      </c>
      <c r="AF38" s="48">
        <f t="shared" si="69"/>
        <v>1.0690871121864318E-2</v>
      </c>
      <c r="AG38" s="48">
        <f t="shared" si="70"/>
        <v>6419.4941880697397</v>
      </c>
      <c r="AH38" s="33"/>
      <c r="AI38" s="48">
        <f t="shared" si="71"/>
        <v>-1.4542204836601547</v>
      </c>
      <c r="AJ38" s="48">
        <f t="shared" si="72"/>
        <v>2.4979469767578158E-2</v>
      </c>
      <c r="AK38" s="48">
        <f t="shared" si="73"/>
        <v>4160.4982173597318</v>
      </c>
      <c r="AL38" s="33"/>
      <c r="AM38" s="33"/>
      <c r="AN38" s="48">
        <f t="shared" si="74"/>
        <v>0.27684773943742175</v>
      </c>
      <c r="AO38" s="48">
        <f t="shared" si="75"/>
        <v>0.24707495927471865</v>
      </c>
      <c r="AP38" s="48">
        <f t="shared" si="76"/>
        <v>0.44240776775944113</v>
      </c>
      <c r="AQ38" s="48">
        <f t="shared" si="77"/>
        <v>3.3669533528418574E-2</v>
      </c>
      <c r="AR38" s="33"/>
      <c r="AS38" s="48"/>
      <c r="AT38" s="33">
        <f t="shared" si="78"/>
        <v>166804.45602232293</v>
      </c>
      <c r="AU38" s="33">
        <f t="shared" si="79"/>
        <v>183.58689378660273</v>
      </c>
      <c r="AV38" s="35">
        <f t="shared" si="80"/>
        <v>635.4358613426549</v>
      </c>
      <c r="AW38" s="33"/>
      <c r="AX38" s="35"/>
      <c r="AY38" s="33"/>
      <c r="AZ38" s="33"/>
      <c r="BA38" s="33"/>
      <c r="BB38" s="49"/>
      <c r="BD38" s="33"/>
      <c r="BE38" s="36"/>
      <c r="BF38" s="36"/>
      <c r="BG38" s="33"/>
      <c r="BH38" s="33"/>
      <c r="BI38" s="38"/>
    </row>
    <row r="39" spans="2:61" x14ac:dyDescent="0.55000000000000004">
      <c r="B39" s="37"/>
      <c r="C39" s="135" t="s">
        <v>176</v>
      </c>
      <c r="D39" s="158" t="s">
        <v>277</v>
      </c>
      <c r="E39" s="37" t="s">
        <v>174</v>
      </c>
      <c r="F39" s="158" t="s">
        <v>250</v>
      </c>
      <c r="H39" s="32">
        <v>6290</v>
      </c>
      <c r="J39" s="94">
        <f t="shared" si="60"/>
        <v>637.80060427774947</v>
      </c>
      <c r="K39" s="35"/>
      <c r="L39" s="23">
        <v>2.5299999999999998</v>
      </c>
      <c r="M39" s="23">
        <v>1.996</v>
      </c>
      <c r="N39" s="23">
        <v>3.5739999999999998</v>
      </c>
      <c r="O39" s="23">
        <v>0.27200000000000002</v>
      </c>
      <c r="P39" s="33"/>
      <c r="Q39" s="23">
        <v>2.3929999999999998</v>
      </c>
      <c r="R39" s="23">
        <v>0.46500000000000002</v>
      </c>
      <c r="S39" s="23">
        <v>0.16300000000000001</v>
      </c>
      <c r="T39" s="23">
        <v>6.2E-2</v>
      </c>
      <c r="U39" s="33"/>
      <c r="V39" s="48">
        <f t="shared" si="61"/>
        <v>0.77085623387276225</v>
      </c>
      <c r="W39" s="33">
        <f t="shared" si="62"/>
        <v>0.15442297282487774</v>
      </c>
      <c r="X39" s="48">
        <f t="shared" si="63"/>
        <v>5.4131063592376502E-2</v>
      </c>
      <c r="Y39" s="48">
        <f t="shared" si="64"/>
        <v>2.0589729709983698E-2</v>
      </c>
      <c r="Z39" s="48"/>
      <c r="AA39" s="48">
        <f t="shared" si="65"/>
        <v>-0.17078870351304157</v>
      </c>
      <c r="AB39" s="48">
        <f t="shared" si="66"/>
        <v>3.4660364854696844E-3</v>
      </c>
      <c r="AC39" s="48">
        <f t="shared" si="67"/>
        <v>163.19727883048333</v>
      </c>
      <c r="AD39" s="48"/>
      <c r="AE39" s="48">
        <f t="shared" si="68"/>
        <v>-2.0042686930274654</v>
      </c>
      <c r="AF39" s="48">
        <f t="shared" si="69"/>
        <v>1.0492439856867897E-2</v>
      </c>
      <c r="AG39" s="48">
        <f t="shared" si="70"/>
        <v>6258.2887870982968</v>
      </c>
      <c r="AH39" s="33"/>
      <c r="AI39" s="48">
        <f t="shared" si="71"/>
        <v>-1.4577622053434149</v>
      </c>
      <c r="AJ39" s="48">
        <f t="shared" si="72"/>
        <v>2.4377213795343178E-2</v>
      </c>
      <c r="AK39" s="48">
        <f t="shared" si="73"/>
        <v>4215.0118440583365</v>
      </c>
      <c r="AL39" s="33"/>
      <c r="AM39" s="33"/>
      <c r="AN39" s="48">
        <f t="shared" si="74"/>
        <v>0.27684773943742175</v>
      </c>
      <c r="AO39" s="48">
        <f t="shared" si="75"/>
        <v>0.24707495927471865</v>
      </c>
      <c r="AP39" s="48">
        <f t="shared" si="76"/>
        <v>0.44240776775944113</v>
      </c>
      <c r="AQ39" s="48">
        <f t="shared" si="77"/>
        <v>3.3669533528418574E-2</v>
      </c>
      <c r="AR39" s="33"/>
      <c r="AS39" s="48"/>
      <c r="AT39" s="33">
        <f t="shared" si="78"/>
        <v>166616.22046253554</v>
      </c>
      <c r="AU39" s="33">
        <f t="shared" si="79"/>
        <v>182.9036829001698</v>
      </c>
      <c r="AV39" s="35">
        <f t="shared" si="80"/>
        <v>637.80060427774947</v>
      </c>
      <c r="AW39" s="33"/>
      <c r="AX39" s="35"/>
      <c r="AY39" s="33"/>
      <c r="AZ39" s="33"/>
      <c r="BA39" s="33"/>
      <c r="BB39" s="49"/>
      <c r="BD39" s="33"/>
      <c r="BE39" s="36"/>
      <c r="BF39" s="36"/>
      <c r="BG39" s="33"/>
      <c r="BH39" s="33"/>
      <c r="BI39" s="38"/>
    </row>
    <row r="40" spans="2:61" x14ac:dyDescent="0.55000000000000004">
      <c r="B40" s="37"/>
      <c r="C40" s="135"/>
      <c r="H40" s="32"/>
      <c r="I40" s="81" t="s">
        <v>59</v>
      </c>
      <c r="J40" s="153">
        <f>AVERAGE(J29:J39)</f>
        <v>632.95853836432241</v>
      </c>
      <c r="K40" s="35"/>
      <c r="L40" s="23"/>
      <c r="M40" s="23"/>
      <c r="N40" s="23"/>
      <c r="O40" s="23"/>
      <c r="P40" s="33"/>
      <c r="Q40" s="23"/>
      <c r="R40" s="23"/>
      <c r="S40" s="23"/>
      <c r="T40" s="23"/>
      <c r="U40" s="33"/>
      <c r="V40" s="48" t="e">
        <f t="shared" si="61"/>
        <v>#DIV/0!</v>
      </c>
      <c r="W40" s="33" t="e">
        <f t="shared" si="62"/>
        <v>#DIV/0!</v>
      </c>
      <c r="X40" s="48" t="e">
        <f t="shared" si="63"/>
        <v>#DIV/0!</v>
      </c>
      <c r="Y40" s="48" t="e">
        <f t="shared" si="64"/>
        <v>#DIV/0!</v>
      </c>
      <c r="Z40" s="48"/>
      <c r="AA40" s="48" t="e">
        <f t="shared" si="65"/>
        <v>#DIV/0!</v>
      </c>
      <c r="AB40" s="48" t="e">
        <f t="shared" si="66"/>
        <v>#DIV/0!</v>
      </c>
      <c r="AC40" s="48" t="e">
        <f t="shared" si="67"/>
        <v>#DIV/0!</v>
      </c>
      <c r="AD40" s="48"/>
      <c r="AE40" s="48" t="e">
        <f t="shared" si="68"/>
        <v>#DIV/0!</v>
      </c>
      <c r="AF40" s="48" t="e">
        <f t="shared" si="69"/>
        <v>#DIV/0!</v>
      </c>
      <c r="AG40" s="48" t="e">
        <f t="shared" si="70"/>
        <v>#DIV/0!</v>
      </c>
      <c r="AH40" s="33"/>
      <c r="AI40" s="48" t="e">
        <f t="shared" si="71"/>
        <v>#DIV/0!</v>
      </c>
      <c r="AJ40" s="48" t="e">
        <f t="shared" si="72"/>
        <v>#DIV/0!</v>
      </c>
      <c r="AK40" s="48" t="e">
        <f t="shared" si="73"/>
        <v>#DIV/0!</v>
      </c>
      <c r="AL40" s="33"/>
      <c r="AM40" s="33"/>
      <c r="AN40" s="48" t="e">
        <f t="shared" si="74"/>
        <v>#DIV/0!</v>
      </c>
      <c r="AO40" s="48" t="e">
        <f t="shared" si="75"/>
        <v>#DIV/0!</v>
      </c>
      <c r="AP40" s="48" t="e">
        <f t="shared" si="76"/>
        <v>#DIV/0!</v>
      </c>
      <c r="AQ40" s="48" t="e">
        <f t="shared" si="77"/>
        <v>#DIV/0!</v>
      </c>
      <c r="AR40" s="33"/>
      <c r="AS40" s="48"/>
      <c r="AT40" s="33" t="e">
        <f t="shared" si="78"/>
        <v>#DIV/0!</v>
      </c>
      <c r="AU40" s="33" t="e">
        <f t="shared" si="79"/>
        <v>#DIV/0!</v>
      </c>
      <c r="AV40" s="35" t="e">
        <f t="shared" si="80"/>
        <v>#DIV/0!</v>
      </c>
      <c r="AW40" s="33"/>
      <c r="AX40" s="35"/>
      <c r="AY40" s="33"/>
      <c r="AZ40" s="33"/>
      <c r="BA40" s="33"/>
      <c r="BB40" s="49"/>
      <c r="BD40" s="33"/>
      <c r="BE40" s="36"/>
      <c r="BF40" s="36"/>
      <c r="BG40" s="33"/>
      <c r="BH40" s="33"/>
      <c r="BI40" s="38"/>
    </row>
    <row r="41" spans="2:61" x14ac:dyDescent="0.55000000000000004">
      <c r="H41" s="23"/>
      <c r="J41" s="19"/>
      <c r="L41" s="23"/>
      <c r="M41" s="23"/>
      <c r="N41" s="23"/>
      <c r="O41" s="23"/>
      <c r="Q41" s="23"/>
      <c r="R41" s="23"/>
      <c r="S41" s="23"/>
      <c r="T41" s="23"/>
    </row>
    <row r="42" spans="2:61" x14ac:dyDescent="0.55000000000000004">
      <c r="B42" s="47" t="s">
        <v>84</v>
      </c>
      <c r="C42" s="135" t="s">
        <v>276</v>
      </c>
      <c r="D42" s="158" t="s">
        <v>248</v>
      </c>
      <c r="E42" s="37" t="s">
        <v>177</v>
      </c>
      <c r="F42" s="158" t="s">
        <v>253</v>
      </c>
      <c r="H42" s="32">
        <v>7850</v>
      </c>
      <c r="J42" s="94">
        <f t="shared" ref="J42:J52" si="81">AV42</f>
        <v>667.60958930829872</v>
      </c>
      <c r="K42" s="35"/>
      <c r="L42" s="23">
        <v>2.7084999999999999</v>
      </c>
      <c r="M42" s="23">
        <v>1.8725000000000001</v>
      </c>
      <c r="N42" s="23">
        <v>3.4615</v>
      </c>
      <c r="O42" s="23">
        <v>0.28049999999999997</v>
      </c>
      <c r="P42" s="33"/>
      <c r="Q42" s="23">
        <v>2.2709999999999999</v>
      </c>
      <c r="R42" s="23">
        <v>0.47699999999999998</v>
      </c>
      <c r="S42" s="23">
        <v>0.215</v>
      </c>
      <c r="T42" s="23">
        <v>3.3000000000000002E-2</v>
      </c>
      <c r="U42" s="33"/>
      <c r="V42" s="48">
        <f t="shared" ref="V42:V52" si="82">Q42*0.97/(Q42*0.97+R42+S42+T42)</f>
        <v>0.7523797163125413</v>
      </c>
      <c r="W42" s="33">
        <f t="shared" ref="W42:W52" si="83">R42/(Q42*0.97+R42+S42+T42)</f>
        <v>0.16291706940540396</v>
      </c>
      <c r="X42" s="48">
        <f t="shared" ref="X42:X52" si="84">S42/(Q42*0.97+R42+S42+T42)</f>
        <v>7.3432222059039515E-2</v>
      </c>
      <c r="Y42" s="48">
        <f t="shared" ref="Y42:Y52" si="85">T42/(Q42*0.97+R42+S42+T42)</f>
        <v>1.1270992223015369E-2</v>
      </c>
      <c r="Z42" s="48"/>
      <c r="AA42" s="48">
        <f t="shared" ref="AA42:AA52" si="86">5.993*W42*W42-9.67*X42*X42-11.006*V42*W42+0.674*V42*X42-9.5725*W42*X42-22.765*W42*Y42-4.6665*X42*Y42+11.006*V42*V42*W42-0.674*V42*V42*X42-11.986*W42*W42*V42+37.966*W42*W42*X42+46.02*W42*W42*Y42+19.34*X42*X42*V42+25.746*X42*X42*W42+46.02*Y42*Y42*W42+19.145*V42*W42*X42+45.53*V42*W42*Y42+9.333*V42*X42*Y42+77.876*W42*X42*Y42</f>
        <v>-0.17611621951600495</v>
      </c>
      <c r="AB42" s="48">
        <f t="shared" ref="AB42:AB52" si="87">-0.034*W42*W42+0.135*X42*X42+0.024*Y42*Y42+0.1*V42*W42+0.08*V42*X42+0.048*V42*Y42-0.0515*W42*X42+0.07*W42*Y42+0.1765*X42*Y42-0.1*V42*V42*W42-0.08*V42*V42*X42-0.048*V42*V42*Y42+0.068*W42*W42*V42-0.136*W42*W42*X42-0.076*W42*W42*Y42-0.27*X42*X42*V42-0.28*X42*X42*W42-0.13*X42*X42*Y42-0.048*Y42*Y42*V42-0.076*Y42*Y42*W42-0.13*Y42*Y42*X42+0.103*V42*W42*X42-0.14*V42*W42*Y42-0.353*V42*X42*Y42-0.414*W42*X42*Y42</f>
        <v>3.8890752321617096E-3</v>
      </c>
      <c r="AC42" s="48">
        <f t="shared" ref="AC42:AC52" si="88">-5672*W42*W42+19932*X42*X42+1617*Y42*Y42+23244*V42*W42-2608*V42*X42+3234*V42*Y42+31326.5*W42*X42+45841*W42*Y42+12356*X42*Y42-23244*V42*V42*W42+2608*V42*V42*X42-3234*V42*V42*Y42+11344*W42*W42*V42-132228*W42*W42*X42-82498*W42*W42*Y42-39864*X42*X42*V42-51518*X42*X42*W42-2850*X42*X42*Y42-3234*Y42*Y42*V42-82498*Y42*Y42*W42-2850*Y42*Y42*X42-62653*V42*W42*X42-91682*V42*W42*Y42-24712*V42*X42*Y42-177221*W42*X42*Y42</f>
        <v>107.9748112997388</v>
      </c>
      <c r="AD42" s="48"/>
      <c r="AE42" s="48">
        <f t="shared" ref="AE42:AE52" si="89">-5.503*V42*V42-12.873*X42*X42-23.01*Y42*Y42+11.986*V42*W42-9.5725*V42*X42-22.765*V42*Y42-37.966*W42*X42-46.02*W42*Y42-38.938*X42*Y42+11.006*V42*V42*W42-0.674*V42*V42*X42-11.986*W42*W42*V42+37.966*W42*W42*X42+46.02*W42*W42*Y42+19.34*X42*X42*V42+25.746*X42*X42*W42+46.02*Y42*Y42*W42+19.145*V42*W42*X42+45.53*V42*W42*Y42+9.333*V42*X42*Y42+77.876*W42*X42*Y42</f>
        <v>-1.822138085751964</v>
      </c>
      <c r="AF42" s="48">
        <f t="shared" ref="AF42:AF52" si="90">0.05*V42*V42+0.14*X42*X42+0.038*Y42*Y42-0.068*V42*W42-0.0515*V42*X42+0.07*V42*Y42+0.136*W42*X42+0.076*W42*Y42+0.207*X42*Y42-0.1*V42*V42*W42-0.08*V42*V42*X42-0.048*V42*V42*Y42+0.068*W42*W42*V42-0.136*W42*W42*X42-0.076*W42*W42*Y42-0.27*X42*X42*V42-0.28*X42*X42*W42-0.13*X42*X42*Y42-0.048*Y42*Y42*V42-0.076*Y42*Y42*W42-0.13*Y42*Y42*X42+0.103*V42*W42*X42-0.14*V42*W42*Y42-0.353*V42*X42*Y42-0.414*W42*X42*Y42</f>
        <v>7.7320408768906607E-3</v>
      </c>
      <c r="AG42" s="48">
        <f t="shared" ref="AG42:AG52" si="91">11622*V42*V42+25759*X42*X42+41249*Y42*Y42-11344*V42*W42+31326.5*V42*X42+45841*V42*Y42+132228*W42*X42+82498*W42*Y42+88610.5*X42*Y42-23244*V42*V42*W42+2608*V42*V42*X42-3234*V42*V42*Y42+11344*W42*W42*V42-132228*W42*W42*X42-82498*W42*W42*Y42-39864*X42*X42*V42-51518*X42*X42*W42-2850*X42*X42*Y42-3234*Y42*Y42*V42-82498*Y42*Y42*W42-2850*Y42*Y42*X42-62653*V42*W42*X42-91682*V42*W42*Y42-24712*V42*X42*Y42-177221*W42*X42*Y42</f>
        <v>6207.9604366279582</v>
      </c>
      <c r="AH42" s="33"/>
      <c r="AI42" s="48">
        <f t="shared" ref="AI42:AI52" si="92">0.337*V42*V42-18.983*W42*W42-9.5725*V42*W42-19.34*V42*X42-4.6665*V42*Y42-25.746*W42*X42-38.938*W42*Y42+11.006*V42*V42*W42-0.674*V42*V42*X42-11.986*W42*W42*V42+37.966*W42*W42*X42+46.02*W42*W42*Y42+19.34*X42*X42*V42+25.746*X42*X42*W42+46.02*Y42*Y42*W42+19.145*V42*W42*X42+45.53*V42*W42*Y42+9.333*V42*X42*Y42+77.876*W42*X42*Y42</f>
        <v>-1.785054367951556</v>
      </c>
      <c r="AJ42" s="48">
        <f t="shared" ref="AJ42:AJ52" si="93">0.04*V42*V42+0.068*W42*W42+0.065*Y42*Y42-0.0515*V42*W42+0.27*V42*X42+0.1765*V42*Y42+0.28*W42*X42+0.207*W42*Y42+0.13*X42*Y42-0.1*V42*V42*W42-0.08*V42*V42*X42-0.048*V42*V42*Y42+0.068*W42*W42*V42-0.136*W42*W42*X42-0.076*W42*W42*Y42-0.27*X42*X42*V42-0.28*X42*X42*W42-0.13*X42*X42*Y42-0.048*Y42*Y42*V42-0.076*Y42*Y42*W42-0.13*Y42*Y42*X42+0.103*V42*W42*X42-0.14*V42*W42*Y42-0.353*V42*X42*Y42-0.414*W42*X42*Y42</f>
        <v>2.5712342349020235E-2</v>
      </c>
      <c r="AK42" s="48">
        <f t="shared" ref="AK42:AK52" si="94">-1304*V42*V42+66114*W42*W42+1425*Y42*Y42+31326.5*V42*W42+39864*V42*X42+12356*V42*Y42+51518*W42*X42+88610.5*W42*Y42+2850*X42*Y42-23244*V42*V42*W42+2608*V42*V42*X42-3234*V42*V42*Y42+11344*W42*W42*V42-132228*W42*W42*X42-82498*W42*W42*Y42-39864*X42*X42*V42-51518*X42*X42*W42-2850*X42*X42*Y42-3234*Y42*Y42*V42-82498*Y42*Y42*W42-2850*Y42*Y42*X42-62653*V42*W42*X42-91682*V42*W42*Y42-24712*V42*X42*Y42-177221*W42*X42*Y42</f>
        <v>4894.4801410422115</v>
      </c>
      <c r="AL42" s="33"/>
      <c r="AM42" s="33"/>
      <c r="AN42" s="48">
        <f t="shared" ref="AN42:AN52" si="95">L42*0.884/(L42*0.884+M42+N42+O42)</f>
        <v>0.29895987096216742</v>
      </c>
      <c r="AO42" s="48">
        <f t="shared" ref="AO42:AO52" si="96">M42/(L42*0.884+M42+N42+O42)</f>
        <v>0.23380490544542548</v>
      </c>
      <c r="AP42" s="48">
        <f t="shared" ref="AP42:AP52" si="97">N42/(L42*0.884+M42+N42+O42)</f>
        <v>0.43221131118789868</v>
      </c>
      <c r="AQ42" s="48">
        <f t="shared" ref="AQ42:AQ52" si="98">O42/(L42*0.884+M42+N42+O42)</f>
        <v>3.5023912404508327E-2</v>
      </c>
      <c r="AR42" s="33"/>
      <c r="AS42" s="48"/>
      <c r="AT42" s="33">
        <f t="shared" ref="AT42:AT52" si="99">40198+(0.295-(AB42-AF42))*H42-(AC42-AG42)+22998*(AO42-AN42)+245559*AP42+310990*AQ42</f>
        <v>164170.93289135257</v>
      </c>
      <c r="AU42" s="33">
        <f t="shared" ref="AU42:AU52" si="100">7.802+3*8.3144*LN((V42/W42)/(AN42/AO42))+(AA42-AE42)+17.396*(AO42-AN42)+280.396*AP42+370.39*AQ42</f>
        <v>174.50891253955817</v>
      </c>
      <c r="AV42" s="35">
        <f t="shared" ref="AV42:AV52" si="101">AT42/AU42-273.15</f>
        <v>667.60958930829872</v>
      </c>
      <c r="AW42" s="33"/>
      <c r="AX42" s="35"/>
      <c r="AY42" s="33"/>
      <c r="AZ42" s="33"/>
      <c r="BA42" s="33"/>
      <c r="BB42" s="49"/>
      <c r="BD42" s="33"/>
      <c r="BE42" s="36"/>
      <c r="BF42" s="36"/>
      <c r="BG42" s="33"/>
      <c r="BH42" s="33"/>
      <c r="BI42" s="38"/>
    </row>
    <row r="43" spans="2:61" x14ac:dyDescent="0.55000000000000004">
      <c r="B43" s="37"/>
      <c r="C43" s="135" t="s">
        <v>276</v>
      </c>
      <c r="D43" s="158" t="s">
        <v>248</v>
      </c>
      <c r="E43" s="37" t="s">
        <v>178</v>
      </c>
      <c r="F43" s="158" t="s">
        <v>253</v>
      </c>
      <c r="H43" s="32">
        <v>7850</v>
      </c>
      <c r="J43" s="94">
        <f t="shared" si="81"/>
        <v>650.62701243380707</v>
      </c>
      <c r="K43" s="35"/>
      <c r="L43" s="23">
        <v>2.7084999999999999</v>
      </c>
      <c r="M43" s="23">
        <v>1.8725000000000001</v>
      </c>
      <c r="N43" s="23">
        <v>3.4615</v>
      </c>
      <c r="O43" s="23">
        <v>0.28049999999999997</v>
      </c>
      <c r="P43" s="33"/>
      <c r="Q43" s="23">
        <v>2.3879999999999999</v>
      </c>
      <c r="R43" s="23">
        <v>0.435</v>
      </c>
      <c r="S43" s="23">
        <v>0.222</v>
      </c>
      <c r="T43" s="23">
        <v>0.04</v>
      </c>
      <c r="U43" s="33"/>
      <c r="V43" s="48">
        <f t="shared" si="82"/>
        <v>0.76869673719701592</v>
      </c>
      <c r="W43" s="33">
        <f t="shared" si="83"/>
        <v>0.14435712958292404</v>
      </c>
      <c r="X43" s="48">
        <f t="shared" si="84"/>
        <v>7.3671914407837102E-2</v>
      </c>
      <c r="Y43" s="48">
        <f t="shared" si="85"/>
        <v>1.3274218812222901E-2</v>
      </c>
      <c r="Z43" s="48"/>
      <c r="AA43" s="48">
        <f t="shared" si="86"/>
        <v>-0.12861347263725059</v>
      </c>
      <c r="AB43" s="48">
        <f t="shared" si="87"/>
        <v>3.3214974688347285E-3</v>
      </c>
      <c r="AC43" s="48">
        <f t="shared" si="88"/>
        <v>49.019696088620954</v>
      </c>
      <c r="AD43" s="48"/>
      <c r="AE43" s="48">
        <f t="shared" si="89"/>
        <v>-2.1678917301644649</v>
      </c>
      <c r="AF43" s="48">
        <f t="shared" si="90"/>
        <v>9.7747897185800747E-3</v>
      </c>
      <c r="AG43" s="48">
        <f t="shared" si="91"/>
        <v>6809.5060984623069</v>
      </c>
      <c r="AH43" s="33"/>
      <c r="AI43" s="48">
        <f t="shared" si="92"/>
        <v>-1.6178711086772595</v>
      </c>
      <c r="AJ43" s="48">
        <f t="shared" si="93"/>
        <v>2.7359613617698168E-2</v>
      </c>
      <c r="AK43" s="48">
        <f t="shared" si="94"/>
        <v>4348.8383708197134</v>
      </c>
      <c r="AL43" s="33"/>
      <c r="AM43" s="33"/>
      <c r="AN43" s="48">
        <f t="shared" si="95"/>
        <v>0.29895987096216742</v>
      </c>
      <c r="AO43" s="48">
        <f t="shared" si="96"/>
        <v>0.23380490544542548</v>
      </c>
      <c r="AP43" s="48">
        <f t="shared" si="97"/>
        <v>0.43221131118789868</v>
      </c>
      <c r="AQ43" s="48">
        <f t="shared" si="98"/>
        <v>3.5023912404508327E-2</v>
      </c>
      <c r="AR43" s="33"/>
      <c r="AS43" s="48"/>
      <c r="AT43" s="33">
        <f t="shared" si="99"/>
        <v>164851.92473224743</v>
      </c>
      <c r="AU43" s="33">
        <f t="shared" si="100"/>
        <v>178.45424005293685</v>
      </c>
      <c r="AV43" s="35">
        <f t="shared" si="101"/>
        <v>650.62701243380707</v>
      </c>
      <c r="AW43" s="33"/>
      <c r="AX43" s="35"/>
      <c r="AY43" s="33"/>
      <c r="AZ43" s="33"/>
      <c r="BA43" s="33"/>
      <c r="BB43" s="49"/>
      <c r="BD43" s="33"/>
      <c r="BE43" s="36"/>
      <c r="BF43" s="36"/>
      <c r="BG43" s="33"/>
      <c r="BH43" s="33"/>
      <c r="BI43" s="38"/>
    </row>
    <row r="44" spans="2:61" x14ac:dyDescent="0.55000000000000004">
      <c r="B44" s="37"/>
      <c r="C44" s="135" t="s">
        <v>276</v>
      </c>
      <c r="D44" s="158" t="s">
        <v>248</v>
      </c>
      <c r="E44" s="37" t="s">
        <v>179</v>
      </c>
      <c r="F44" s="158" t="s">
        <v>253</v>
      </c>
      <c r="H44" s="32">
        <v>7850</v>
      </c>
      <c r="J44" s="94">
        <f t="shared" si="81"/>
        <v>668.37035193308293</v>
      </c>
      <c r="K44" s="35"/>
      <c r="L44" s="23">
        <v>2.7084999999999999</v>
      </c>
      <c r="M44" s="23">
        <v>1.8725000000000001</v>
      </c>
      <c r="N44" s="23">
        <v>3.4615</v>
      </c>
      <c r="O44" s="23">
        <v>0.28049999999999997</v>
      </c>
      <c r="P44" s="33"/>
      <c r="Q44" s="23">
        <v>2.2709999999999999</v>
      </c>
      <c r="R44" s="23">
        <v>0.47899999999999998</v>
      </c>
      <c r="S44" s="23">
        <v>0.221</v>
      </c>
      <c r="T44" s="23">
        <v>3.3000000000000002E-2</v>
      </c>
      <c r="U44" s="33"/>
      <c r="V44" s="48">
        <f t="shared" si="82"/>
        <v>0.7503295445643029</v>
      </c>
      <c r="W44" s="33">
        <f t="shared" si="83"/>
        <v>0.16315436310190845</v>
      </c>
      <c r="X44" s="48">
        <f t="shared" si="84"/>
        <v>7.5275812621131047E-2</v>
      </c>
      <c r="Y44" s="48">
        <f t="shared" si="85"/>
        <v>1.1240279712657578E-2</v>
      </c>
      <c r="Z44" s="48"/>
      <c r="AA44" s="48">
        <f t="shared" si="86"/>
        <v>-0.17223925907253698</v>
      </c>
      <c r="AB44" s="48">
        <f t="shared" si="87"/>
        <v>3.909565247336831E-3</v>
      </c>
      <c r="AC44" s="48">
        <f t="shared" si="88"/>
        <v>95.826803778575211</v>
      </c>
      <c r="AD44" s="48"/>
      <c r="AE44" s="48">
        <f t="shared" si="89"/>
        <v>-1.8274137006558999</v>
      </c>
      <c r="AF44" s="48">
        <f t="shared" si="90"/>
        <v>7.5257756386422582E-3</v>
      </c>
      <c r="AG44" s="48">
        <f t="shared" si="91"/>
        <v>6240.707875156776</v>
      </c>
      <c r="AH44" s="33"/>
      <c r="AI44" s="48">
        <f t="shared" si="92"/>
        <v>-1.811200235291023</v>
      </c>
      <c r="AJ44" s="48">
        <f t="shared" si="93"/>
        <v>2.5936682191711045E-2</v>
      </c>
      <c r="AK44" s="48">
        <f t="shared" si="94"/>
        <v>4943.2652283670568</v>
      </c>
      <c r="AL44" s="33"/>
      <c r="AM44" s="33"/>
      <c r="AN44" s="48">
        <f t="shared" si="95"/>
        <v>0.29895987096216742</v>
      </c>
      <c r="AO44" s="48">
        <f t="shared" si="96"/>
        <v>0.23380490544542548</v>
      </c>
      <c r="AP44" s="48">
        <f t="shared" si="97"/>
        <v>0.43221131118789868</v>
      </c>
      <c r="AQ44" s="48">
        <f t="shared" si="98"/>
        <v>3.5023912404508327E-2</v>
      </c>
      <c r="AR44" s="33"/>
      <c r="AS44" s="48"/>
      <c r="AT44" s="33">
        <f t="shared" si="99"/>
        <v>164214.04830866319</v>
      </c>
      <c r="AU44" s="33">
        <f t="shared" si="100"/>
        <v>174.41370010909168</v>
      </c>
      <c r="AV44" s="35">
        <f t="shared" si="101"/>
        <v>668.37035193308293</v>
      </c>
      <c r="AW44" s="33"/>
      <c r="AX44" s="35"/>
      <c r="AY44" s="33"/>
      <c r="AZ44" s="33"/>
      <c r="BA44" s="33"/>
      <c r="BB44" s="49"/>
      <c r="BD44" s="33"/>
      <c r="BE44" s="36"/>
      <c r="BF44" s="36"/>
      <c r="BG44" s="33"/>
      <c r="BH44" s="33"/>
      <c r="BI44" s="38"/>
    </row>
    <row r="45" spans="2:61" x14ac:dyDescent="0.55000000000000004">
      <c r="B45" s="37"/>
      <c r="C45" s="135" t="s">
        <v>276</v>
      </c>
      <c r="D45" s="158" t="s">
        <v>248</v>
      </c>
      <c r="E45" s="37" t="s">
        <v>180</v>
      </c>
      <c r="F45" s="158" t="s">
        <v>253</v>
      </c>
      <c r="H45" s="32">
        <v>7850</v>
      </c>
      <c r="J45" s="94">
        <f t="shared" si="81"/>
        <v>674.24019788661451</v>
      </c>
      <c r="K45" s="35"/>
      <c r="L45" s="23">
        <v>2.7084999999999999</v>
      </c>
      <c r="M45" s="23">
        <v>1.8725000000000001</v>
      </c>
      <c r="N45" s="23">
        <v>3.4615</v>
      </c>
      <c r="O45" s="23">
        <v>0.28049999999999997</v>
      </c>
      <c r="P45" s="33"/>
      <c r="Q45" s="23">
        <v>2.282</v>
      </c>
      <c r="R45" s="23">
        <v>0.505</v>
      </c>
      <c r="S45" s="23">
        <v>0.222</v>
      </c>
      <c r="T45" s="23">
        <v>3.3000000000000002E-2</v>
      </c>
      <c r="U45" s="33"/>
      <c r="V45" s="48">
        <f t="shared" si="82"/>
        <v>0.74441238389259945</v>
      </c>
      <c r="W45" s="33">
        <f t="shared" si="83"/>
        <v>0.16983124491347015</v>
      </c>
      <c r="X45" s="48">
        <f t="shared" si="84"/>
        <v>7.4658487862951234E-2</v>
      </c>
      <c r="Y45" s="48">
        <f t="shared" si="85"/>
        <v>1.1097883330979238E-2</v>
      </c>
      <c r="Z45" s="48"/>
      <c r="AA45" s="48">
        <f t="shared" si="86"/>
        <v>-0.1892344162724002</v>
      </c>
      <c r="AB45" s="48">
        <f t="shared" si="87"/>
        <v>4.1109753710788857E-3</v>
      </c>
      <c r="AC45" s="48">
        <f t="shared" si="88"/>
        <v>118.24643983757106</v>
      </c>
      <c r="AD45" s="48"/>
      <c r="AE45" s="48">
        <f t="shared" si="89"/>
        <v>-1.7152846320945601</v>
      </c>
      <c r="AF45" s="48">
        <f t="shared" si="90"/>
        <v>6.8767669774482867E-3</v>
      </c>
      <c r="AG45" s="48">
        <f t="shared" si="91"/>
        <v>6036.3578444650348</v>
      </c>
      <c r="AH45" s="33"/>
      <c r="AI45" s="48">
        <f t="shared" si="92"/>
        <v>-1.8702802365251012</v>
      </c>
      <c r="AJ45" s="48">
        <f t="shared" si="93"/>
        <v>2.5362234991403641E-2</v>
      </c>
      <c r="AK45" s="48">
        <f t="shared" si="94"/>
        <v>5141.4007146569556</v>
      </c>
      <c r="AL45" s="33"/>
      <c r="AM45" s="33"/>
      <c r="AN45" s="48">
        <f t="shared" si="95"/>
        <v>0.29895987096216742</v>
      </c>
      <c r="AO45" s="48">
        <f t="shared" si="96"/>
        <v>0.23380490544542548</v>
      </c>
      <c r="AP45" s="48">
        <f t="shared" si="97"/>
        <v>0.43221131118789868</v>
      </c>
      <c r="AQ45" s="48">
        <f t="shared" si="98"/>
        <v>3.5023912404508327E-2</v>
      </c>
      <c r="AR45" s="33"/>
      <c r="AS45" s="48"/>
      <c r="AT45" s="33">
        <f t="shared" si="99"/>
        <v>163980.6028544507</v>
      </c>
      <c r="AU45" s="33">
        <f t="shared" si="100"/>
        <v>173.08665766254447</v>
      </c>
      <c r="AV45" s="35">
        <f t="shared" si="101"/>
        <v>674.24019788661451</v>
      </c>
      <c r="AW45" s="33"/>
      <c r="AX45" s="35"/>
      <c r="AY45" s="33"/>
      <c r="AZ45" s="33"/>
      <c r="BA45" s="33"/>
      <c r="BB45" s="49"/>
      <c r="BD45" s="33"/>
      <c r="BE45" s="36"/>
      <c r="BF45" s="36"/>
      <c r="BG45" s="33"/>
      <c r="BH45" s="33"/>
      <c r="BI45" s="38"/>
    </row>
    <row r="46" spans="2:61" x14ac:dyDescent="0.55000000000000004">
      <c r="B46" s="37"/>
      <c r="C46" s="135" t="s">
        <v>276</v>
      </c>
      <c r="D46" s="158" t="s">
        <v>248</v>
      </c>
      <c r="E46" s="37" t="s">
        <v>181</v>
      </c>
      <c r="F46" s="158" t="s">
        <v>253</v>
      </c>
      <c r="H46" s="32">
        <v>7850</v>
      </c>
      <c r="J46" s="94">
        <f t="shared" si="81"/>
        <v>667.46886396653576</v>
      </c>
      <c r="K46" s="35"/>
      <c r="L46" s="23">
        <v>2.7084999999999999</v>
      </c>
      <c r="M46" s="23">
        <v>1.8725000000000001</v>
      </c>
      <c r="N46" s="23">
        <v>3.4615</v>
      </c>
      <c r="O46" s="23">
        <v>0.28049999999999997</v>
      </c>
      <c r="P46" s="33"/>
      <c r="Q46" s="23">
        <v>2.3260000000000001</v>
      </c>
      <c r="R46" s="23">
        <v>0.48799999999999999</v>
      </c>
      <c r="S46" s="23">
        <v>0.22</v>
      </c>
      <c r="T46" s="23">
        <v>3.4000000000000002E-2</v>
      </c>
      <c r="U46" s="33"/>
      <c r="V46" s="48">
        <f t="shared" si="82"/>
        <v>0.75251982843153609</v>
      </c>
      <c r="W46" s="33">
        <f t="shared" si="83"/>
        <v>0.16276323952211647</v>
      </c>
      <c r="X46" s="48">
        <f t="shared" si="84"/>
        <v>7.3376870276363984E-2</v>
      </c>
      <c r="Y46" s="48">
        <f t="shared" si="85"/>
        <v>1.1340061769983525E-2</v>
      </c>
      <c r="Z46" s="48"/>
      <c r="AA46" s="48">
        <f t="shared" si="86"/>
        <v>-0.17567133674017263</v>
      </c>
      <c r="AB46" s="48">
        <f t="shared" si="87"/>
        <v>3.8838461209256725E-3</v>
      </c>
      <c r="AC46" s="48">
        <f t="shared" si="88"/>
        <v>107.5721722871611</v>
      </c>
      <c r="AD46" s="48"/>
      <c r="AE46" s="48">
        <f t="shared" si="89"/>
        <v>-1.8253946186972008</v>
      </c>
      <c r="AF46" s="48">
        <f t="shared" si="90"/>
        <v>7.7529331754731335E-3</v>
      </c>
      <c r="AG46" s="48">
        <f t="shared" si="91"/>
        <v>6212.8092028113624</v>
      </c>
      <c r="AH46" s="33"/>
      <c r="AI46" s="48">
        <f t="shared" si="92"/>
        <v>-1.7829257597715351</v>
      </c>
      <c r="AJ46" s="48">
        <f t="shared" si="93"/>
        <v>2.5720965111825117E-2</v>
      </c>
      <c r="AK46" s="48">
        <f t="shared" si="94"/>
        <v>4888.7274855115102</v>
      </c>
      <c r="AL46" s="33"/>
      <c r="AM46" s="33"/>
      <c r="AN46" s="48">
        <f t="shared" si="95"/>
        <v>0.29895987096216742</v>
      </c>
      <c r="AO46" s="48">
        <f t="shared" si="96"/>
        <v>0.23380490544542548</v>
      </c>
      <c r="AP46" s="48">
        <f t="shared" si="97"/>
        <v>0.43221131118789868</v>
      </c>
      <c r="AQ46" s="48">
        <f t="shared" si="98"/>
        <v>3.5023912404508327E-2</v>
      </c>
      <c r="AR46" s="33"/>
      <c r="AS46" s="48"/>
      <c r="AT46" s="33">
        <f t="shared" si="99"/>
        <v>164176.38934961564</v>
      </c>
      <c r="AU46" s="33">
        <f t="shared" si="100"/>
        <v>174.5408216217281</v>
      </c>
      <c r="AV46" s="35">
        <f t="shared" si="101"/>
        <v>667.46886396653576</v>
      </c>
      <c r="AW46" s="33"/>
      <c r="AX46" s="35"/>
      <c r="AY46" s="33"/>
      <c r="AZ46" s="33"/>
      <c r="BA46" s="33"/>
      <c r="BB46" s="49"/>
      <c r="BD46" s="33"/>
      <c r="BE46" s="36"/>
      <c r="BF46" s="36"/>
      <c r="BG46" s="33"/>
      <c r="BH46" s="33"/>
      <c r="BI46" s="38"/>
    </row>
    <row r="47" spans="2:61" x14ac:dyDescent="0.55000000000000004">
      <c r="B47" s="37"/>
      <c r="C47" s="135" t="s">
        <v>276</v>
      </c>
      <c r="D47" s="158" t="s">
        <v>248</v>
      </c>
      <c r="E47" s="37" t="s">
        <v>182</v>
      </c>
      <c r="F47" s="158" t="s">
        <v>253</v>
      </c>
      <c r="H47" s="32">
        <v>7850</v>
      </c>
      <c r="J47" s="94">
        <f t="shared" si="81"/>
        <v>671.60271615392674</v>
      </c>
      <c r="K47" s="35"/>
      <c r="L47" s="23">
        <v>2.7084999999999999</v>
      </c>
      <c r="M47" s="23">
        <v>1.8725000000000001</v>
      </c>
      <c r="N47" s="23">
        <v>3.4615</v>
      </c>
      <c r="O47" s="23">
        <v>0.28049999999999997</v>
      </c>
      <c r="P47" s="33"/>
      <c r="Q47" s="23">
        <v>2.3279999999999998</v>
      </c>
      <c r="R47" s="23">
        <v>0.50600000000000001</v>
      </c>
      <c r="S47" s="23">
        <v>0.219</v>
      </c>
      <c r="T47" s="23">
        <v>2.9000000000000001E-2</v>
      </c>
      <c r="U47" s="33"/>
      <c r="V47" s="48">
        <f t="shared" si="82"/>
        <v>0.74968129183044729</v>
      </c>
      <c r="W47" s="33">
        <f t="shared" si="83"/>
        <v>0.16798576436842669</v>
      </c>
      <c r="X47" s="48">
        <f t="shared" si="84"/>
        <v>7.270530117922025E-2</v>
      </c>
      <c r="Y47" s="48">
        <f t="shared" si="85"/>
        <v>9.627642621905878E-3</v>
      </c>
      <c r="Z47" s="48"/>
      <c r="AA47" s="48">
        <f t="shared" si="86"/>
        <v>-0.19515185264813381</v>
      </c>
      <c r="AB47" s="48">
        <f t="shared" si="87"/>
        <v>4.0424848603274307E-3</v>
      </c>
      <c r="AC47" s="48">
        <f t="shared" si="88"/>
        <v>136.10637528507962</v>
      </c>
      <c r="AD47" s="48"/>
      <c r="AE47" s="48">
        <f t="shared" si="89"/>
        <v>-1.7118118651307257</v>
      </c>
      <c r="AF47" s="48">
        <f t="shared" si="90"/>
        <v>7.2859078699417752E-3</v>
      </c>
      <c r="AG47" s="48">
        <f t="shared" si="91"/>
        <v>6008.7628996544854</v>
      </c>
      <c r="AH47" s="33"/>
      <c r="AI47" s="48">
        <f t="shared" si="92"/>
        <v>-1.8238933935859991</v>
      </c>
      <c r="AJ47" s="48">
        <f t="shared" si="93"/>
        <v>2.5133992330391569E-2</v>
      </c>
      <c r="AK47" s="48">
        <f t="shared" si="94"/>
        <v>5031.4061890276162</v>
      </c>
      <c r="AL47" s="33"/>
      <c r="AM47" s="33"/>
      <c r="AN47" s="48">
        <f t="shared" si="95"/>
        <v>0.29895987096216742</v>
      </c>
      <c r="AO47" s="48">
        <f t="shared" si="96"/>
        <v>0.23380490544542548</v>
      </c>
      <c r="AP47" s="48">
        <f t="shared" si="97"/>
        <v>0.43221131118789868</v>
      </c>
      <c r="AQ47" s="48">
        <f t="shared" si="98"/>
        <v>3.5023912404508327E-2</v>
      </c>
      <c r="AR47" s="33"/>
      <c r="AS47" s="48"/>
      <c r="AT47" s="33">
        <f t="shared" si="99"/>
        <v>163938.89738070813</v>
      </c>
      <c r="AU47" s="33">
        <f t="shared" si="100"/>
        <v>173.52572221025284</v>
      </c>
      <c r="AV47" s="35">
        <f t="shared" si="101"/>
        <v>671.60271615392674</v>
      </c>
      <c r="AW47" s="33"/>
      <c r="AX47" s="35"/>
      <c r="AY47" s="33"/>
      <c r="AZ47" s="33"/>
      <c r="BA47" s="33"/>
      <c r="BB47" s="49"/>
      <c r="BD47" s="33"/>
      <c r="BE47" s="36"/>
      <c r="BF47" s="36"/>
      <c r="BG47" s="33"/>
      <c r="BH47" s="33"/>
      <c r="BI47" s="38"/>
    </row>
    <row r="48" spans="2:61" x14ac:dyDescent="0.55000000000000004">
      <c r="B48" s="37"/>
      <c r="C48" s="135" t="s">
        <v>276</v>
      </c>
      <c r="D48" s="158" t="s">
        <v>248</v>
      </c>
      <c r="E48" s="37" t="s">
        <v>183</v>
      </c>
      <c r="F48" s="158" t="s">
        <v>253</v>
      </c>
      <c r="H48" s="32">
        <v>7850</v>
      </c>
      <c r="J48" s="94">
        <f t="shared" si="81"/>
        <v>672.45624977507384</v>
      </c>
      <c r="K48" s="35"/>
      <c r="L48" s="23">
        <v>2.7084999999999999</v>
      </c>
      <c r="M48" s="23">
        <v>1.8725000000000001</v>
      </c>
      <c r="N48" s="23">
        <v>3.4615</v>
      </c>
      <c r="O48" s="23">
        <v>0.28049999999999997</v>
      </c>
      <c r="P48" s="33"/>
      <c r="Q48" s="23">
        <v>2.363</v>
      </c>
      <c r="R48" s="23">
        <v>0.51800000000000002</v>
      </c>
      <c r="S48" s="23">
        <v>0.218</v>
      </c>
      <c r="T48" s="23">
        <v>2.9000000000000001E-2</v>
      </c>
      <c r="U48" s="33"/>
      <c r="V48" s="48">
        <f t="shared" si="82"/>
        <v>0.74976366568425745</v>
      </c>
      <c r="W48" s="33">
        <f t="shared" si="83"/>
        <v>0.16944107343209766</v>
      </c>
      <c r="X48" s="48">
        <f t="shared" si="84"/>
        <v>7.1309177622002479E-2</v>
      </c>
      <c r="Y48" s="48">
        <f t="shared" si="85"/>
        <v>9.4860832616425333E-3</v>
      </c>
      <c r="Z48" s="48"/>
      <c r="AA48" s="48">
        <f t="shared" si="86"/>
        <v>-0.2025487842223784</v>
      </c>
      <c r="AB48" s="48">
        <f t="shared" si="87"/>
        <v>4.0772775411079083E-3</v>
      </c>
      <c r="AC48" s="48">
        <f t="shared" si="88"/>
        <v>151.08822318753175</v>
      </c>
      <c r="AD48" s="48"/>
      <c r="AE48" s="48">
        <f t="shared" si="89"/>
        <v>-1.6789060674124934</v>
      </c>
      <c r="AF48" s="48">
        <f t="shared" si="90"/>
        <v>7.2661437870805562E-3</v>
      </c>
      <c r="AG48" s="48">
        <f t="shared" si="91"/>
        <v>5933.3079029753999</v>
      </c>
      <c r="AH48" s="33"/>
      <c r="AI48" s="48">
        <f t="shared" si="92"/>
        <v>-1.8203858735642902</v>
      </c>
      <c r="AJ48" s="48">
        <f t="shared" si="93"/>
        <v>2.4828542426850741E-2</v>
      </c>
      <c r="AK48" s="48">
        <f t="shared" si="94"/>
        <v>5046.4096398937772</v>
      </c>
      <c r="AL48" s="33"/>
      <c r="AM48" s="33"/>
      <c r="AN48" s="48">
        <f t="shared" si="95"/>
        <v>0.29895987096216742</v>
      </c>
      <c r="AO48" s="48">
        <f t="shared" si="96"/>
        <v>0.23380490544542548</v>
      </c>
      <c r="AP48" s="48">
        <f t="shared" si="97"/>
        <v>0.43221131118789868</v>
      </c>
      <c r="AQ48" s="48">
        <f t="shared" si="98"/>
        <v>3.5023912404508327E-2</v>
      </c>
      <c r="AR48" s="33"/>
      <c r="AS48" s="48"/>
      <c r="AT48" s="33">
        <f t="shared" si="99"/>
        <v>163848.03226553201</v>
      </c>
      <c r="AU48" s="33">
        <f t="shared" si="100"/>
        <v>173.27300057979275</v>
      </c>
      <c r="AV48" s="35">
        <f t="shared" si="101"/>
        <v>672.45624977507384</v>
      </c>
      <c r="AW48" s="33"/>
      <c r="AX48" s="35"/>
      <c r="AY48" s="33"/>
      <c r="AZ48" s="33"/>
      <c r="BA48" s="33"/>
      <c r="BB48" s="49"/>
      <c r="BD48" s="33"/>
      <c r="BE48" s="36"/>
      <c r="BF48" s="36"/>
      <c r="BG48" s="33"/>
      <c r="BH48" s="33"/>
      <c r="BI48" s="38"/>
    </row>
    <row r="49" spans="1:61" x14ac:dyDescent="0.55000000000000004">
      <c r="B49" s="37"/>
      <c r="C49" s="135" t="s">
        <v>276</v>
      </c>
      <c r="D49" s="158" t="s">
        <v>248</v>
      </c>
      <c r="E49" s="37" t="s">
        <v>184</v>
      </c>
      <c r="F49" s="158" t="s">
        <v>253</v>
      </c>
      <c r="H49" s="32">
        <v>7850</v>
      </c>
      <c r="J49" s="94">
        <f t="shared" si="81"/>
        <v>676.20855401507174</v>
      </c>
      <c r="K49" s="35"/>
      <c r="L49" s="23">
        <v>2.7084999999999999</v>
      </c>
      <c r="M49" s="23">
        <v>1.8725000000000001</v>
      </c>
      <c r="N49" s="23">
        <v>3.4615</v>
      </c>
      <c r="O49" s="23">
        <v>0.28049999999999997</v>
      </c>
      <c r="P49" s="33"/>
      <c r="Q49" s="23">
        <v>2.3199999999999998</v>
      </c>
      <c r="R49" s="23">
        <v>0.52500000000000002</v>
      </c>
      <c r="S49" s="23">
        <v>0.21</v>
      </c>
      <c r="T49" s="23">
        <v>2.9000000000000001E-2</v>
      </c>
      <c r="U49" s="33"/>
      <c r="V49" s="48">
        <f t="shared" si="82"/>
        <v>0.7465498938428875</v>
      </c>
      <c r="W49" s="33">
        <f t="shared" si="83"/>
        <v>0.17416401273885351</v>
      </c>
      <c r="X49" s="48">
        <f t="shared" si="84"/>
        <v>6.96656050955414E-2</v>
      </c>
      <c r="Y49" s="48">
        <f t="shared" si="85"/>
        <v>9.6204883227176234E-3</v>
      </c>
      <c r="Z49" s="48"/>
      <c r="AA49" s="48">
        <f t="shared" si="86"/>
        <v>-0.21743068348115746</v>
      </c>
      <c r="AB49" s="48">
        <f t="shared" si="87"/>
        <v>4.2109444264393087E-3</v>
      </c>
      <c r="AC49" s="48">
        <f t="shared" si="88"/>
        <v>175.96726145903966</v>
      </c>
      <c r="AD49" s="48"/>
      <c r="AE49" s="48">
        <f t="shared" si="89"/>
        <v>-1.5972973117757479</v>
      </c>
      <c r="AF49" s="48">
        <f t="shared" si="90"/>
        <v>6.9152740212420072E-3</v>
      </c>
      <c r="AG49" s="48">
        <f t="shared" si="91"/>
        <v>5767.8221774526801</v>
      </c>
      <c r="AH49" s="33"/>
      <c r="AI49" s="48">
        <f t="shared" si="92"/>
        <v>-1.8485184037147293</v>
      </c>
      <c r="AJ49" s="48">
        <f t="shared" si="93"/>
        <v>2.4273783149119637E-2</v>
      </c>
      <c r="AK49" s="48">
        <f t="shared" si="94"/>
        <v>5165.5575187253135</v>
      </c>
      <c r="AL49" s="33"/>
      <c r="AM49" s="33"/>
      <c r="AN49" s="48">
        <f t="shared" si="95"/>
        <v>0.29895987096216742</v>
      </c>
      <c r="AO49" s="48">
        <f t="shared" si="96"/>
        <v>0.23380490544542548</v>
      </c>
      <c r="AP49" s="48">
        <f t="shared" si="97"/>
        <v>0.43221131118789868</v>
      </c>
      <c r="AQ49" s="48">
        <f t="shared" si="98"/>
        <v>3.5023912404508327E-2</v>
      </c>
      <c r="AR49" s="33"/>
      <c r="AS49" s="48"/>
      <c r="AT49" s="33">
        <f t="shared" si="99"/>
        <v>163653.86388902608</v>
      </c>
      <c r="AU49" s="33">
        <f t="shared" si="100"/>
        <v>172.38361965233628</v>
      </c>
      <c r="AV49" s="35">
        <f t="shared" si="101"/>
        <v>676.20855401507174</v>
      </c>
      <c r="AW49" s="33"/>
      <c r="AX49" s="35"/>
      <c r="AY49" s="33"/>
      <c r="AZ49" s="33"/>
      <c r="BA49" s="33"/>
      <c r="BB49" s="49"/>
      <c r="BD49" s="33"/>
      <c r="BE49" s="36"/>
      <c r="BF49" s="36"/>
      <c r="BG49" s="33"/>
      <c r="BH49" s="33"/>
      <c r="BI49" s="38"/>
    </row>
    <row r="50" spans="1:61" x14ac:dyDescent="0.55000000000000004">
      <c r="B50" s="37"/>
      <c r="C50" s="135" t="s">
        <v>276</v>
      </c>
      <c r="D50" s="158" t="s">
        <v>248</v>
      </c>
      <c r="E50" s="37" t="s">
        <v>185</v>
      </c>
      <c r="F50" s="158" t="s">
        <v>253</v>
      </c>
      <c r="H50" s="32">
        <v>7850</v>
      </c>
      <c r="J50" s="94">
        <f t="shared" si="81"/>
        <v>674.07097885304574</v>
      </c>
      <c r="K50" s="35"/>
      <c r="L50" s="23">
        <v>2.7084999999999999</v>
      </c>
      <c r="M50" s="23">
        <v>1.8725000000000001</v>
      </c>
      <c r="N50" s="23">
        <v>3.4615</v>
      </c>
      <c r="O50" s="23">
        <v>0.28049999999999997</v>
      </c>
      <c r="P50" s="33"/>
      <c r="Q50" s="23">
        <v>2.306</v>
      </c>
      <c r="R50" s="23">
        <v>0.51200000000000001</v>
      </c>
      <c r="S50" s="23">
        <v>0.214</v>
      </c>
      <c r="T50" s="23">
        <v>2.8000000000000001E-2</v>
      </c>
      <c r="U50" s="33"/>
      <c r="V50" s="48">
        <f t="shared" si="82"/>
        <v>0.74789522605840542</v>
      </c>
      <c r="W50" s="33">
        <f t="shared" si="83"/>
        <v>0.17119050962612262</v>
      </c>
      <c r="X50" s="48">
        <f t="shared" si="84"/>
        <v>7.1552283320293439E-2</v>
      </c>
      <c r="Y50" s="48">
        <f t="shared" si="85"/>
        <v>9.3619809951785808E-3</v>
      </c>
      <c r="Z50" s="48"/>
      <c r="AA50" s="48">
        <f t="shared" si="86"/>
        <v>-0.20648931294653686</v>
      </c>
      <c r="AB50" s="48">
        <f t="shared" si="87"/>
        <v>4.1334860312130569E-3</v>
      </c>
      <c r="AC50" s="48">
        <f t="shared" si="88"/>
        <v>154.98530254238784</v>
      </c>
      <c r="AD50" s="48"/>
      <c r="AE50" s="48">
        <f t="shared" si="89"/>
        <v>-1.6506444908412954</v>
      </c>
      <c r="AF50" s="48">
        <f t="shared" si="90"/>
        <v>7.0583622194477173E-3</v>
      </c>
      <c r="AG50" s="48">
        <f t="shared" si="91"/>
        <v>5886.9223486290266</v>
      </c>
      <c r="AH50" s="33"/>
      <c r="AI50" s="48">
        <f t="shared" si="92"/>
        <v>-1.8414980497190208</v>
      </c>
      <c r="AJ50" s="48">
        <f t="shared" si="93"/>
        <v>2.4728405461762672E-2</v>
      </c>
      <c r="AK50" s="48">
        <f t="shared" si="94"/>
        <v>5108.336191398068</v>
      </c>
      <c r="AL50" s="33"/>
      <c r="AM50" s="33"/>
      <c r="AN50" s="48">
        <f t="shared" si="95"/>
        <v>0.29895987096216742</v>
      </c>
      <c r="AO50" s="48">
        <f t="shared" si="96"/>
        <v>0.23380490544542548</v>
      </c>
      <c r="AP50" s="48">
        <f t="shared" si="97"/>
        <v>0.43221131118789868</v>
      </c>
      <c r="AQ50" s="48">
        <f t="shared" si="98"/>
        <v>3.5023912404508327E-2</v>
      </c>
      <c r="AR50" s="33"/>
      <c r="AS50" s="48"/>
      <c r="AT50" s="33">
        <f t="shared" si="99"/>
        <v>163795.67730987753</v>
      </c>
      <c r="AU50" s="33">
        <f t="shared" si="100"/>
        <v>172.92234965932823</v>
      </c>
      <c r="AV50" s="35">
        <f t="shared" si="101"/>
        <v>674.07097885304574</v>
      </c>
      <c r="AW50" s="33"/>
      <c r="AX50" s="35"/>
      <c r="AY50" s="33"/>
      <c r="AZ50" s="33"/>
      <c r="BA50" s="33"/>
      <c r="BB50" s="49"/>
      <c r="BD50" s="33"/>
      <c r="BE50" s="36"/>
      <c r="BF50" s="36"/>
      <c r="BG50" s="33"/>
      <c r="BH50" s="33"/>
      <c r="BI50" s="38"/>
    </row>
    <row r="51" spans="1:61" x14ac:dyDescent="0.55000000000000004">
      <c r="B51" s="37"/>
      <c r="C51" s="135" t="s">
        <v>276</v>
      </c>
      <c r="D51" s="158" t="s">
        <v>248</v>
      </c>
      <c r="E51" s="37" t="s">
        <v>186</v>
      </c>
      <c r="F51" s="158" t="s">
        <v>253</v>
      </c>
      <c r="H51" s="32">
        <v>7850</v>
      </c>
      <c r="J51" s="94">
        <f t="shared" si="81"/>
        <v>674.23042648893693</v>
      </c>
      <c r="K51" s="35"/>
      <c r="L51" s="23">
        <v>2.7084999999999999</v>
      </c>
      <c r="M51" s="23">
        <v>1.8725000000000001</v>
      </c>
      <c r="N51" s="23">
        <v>3.4615</v>
      </c>
      <c r="O51" s="23">
        <v>0.28049999999999997</v>
      </c>
      <c r="P51" s="33"/>
      <c r="Q51" s="23">
        <v>2.3119999999999998</v>
      </c>
      <c r="R51" s="23">
        <v>0.51400000000000001</v>
      </c>
      <c r="S51" s="23">
        <v>0.214</v>
      </c>
      <c r="T51" s="23">
        <v>2.9000000000000001E-2</v>
      </c>
      <c r="U51" s="33"/>
      <c r="V51" s="48">
        <f t="shared" si="82"/>
        <v>0.74763638303263058</v>
      </c>
      <c r="W51" s="33">
        <f t="shared" si="83"/>
        <v>0.17135389580082944</v>
      </c>
      <c r="X51" s="48">
        <f t="shared" si="84"/>
        <v>7.1341894360656619E-2</v>
      </c>
      <c r="Y51" s="48">
        <f t="shared" si="85"/>
        <v>9.6678268058833731E-3</v>
      </c>
      <c r="Z51" s="48"/>
      <c r="AA51" s="48">
        <f t="shared" si="86"/>
        <v>-0.20631456432397591</v>
      </c>
      <c r="AB51" s="48">
        <f t="shared" si="87"/>
        <v>4.1364769049660249E-3</v>
      </c>
      <c r="AC51" s="48">
        <f t="shared" si="88"/>
        <v>155.18649886487975</v>
      </c>
      <c r="AD51" s="48"/>
      <c r="AE51" s="48">
        <f t="shared" si="89"/>
        <v>-1.651514535175967</v>
      </c>
      <c r="AF51" s="48">
        <f t="shared" si="90"/>
        <v>7.0552127239772349E-3</v>
      </c>
      <c r="AG51" s="48">
        <f t="shared" si="91"/>
        <v>5885.0110801050359</v>
      </c>
      <c r="AH51" s="33"/>
      <c r="AI51" s="48">
        <f t="shared" si="92"/>
        <v>-1.8409533985903788</v>
      </c>
      <c r="AJ51" s="48">
        <f t="shared" si="93"/>
        <v>2.4708182451842493E-2</v>
      </c>
      <c r="AK51" s="48">
        <f t="shared" si="94"/>
        <v>5110.5099218499163</v>
      </c>
      <c r="AL51" s="33"/>
      <c r="AM51" s="33"/>
      <c r="AN51" s="48">
        <f t="shared" si="95"/>
        <v>0.29895987096216742</v>
      </c>
      <c r="AO51" s="48">
        <f t="shared" si="96"/>
        <v>0.23380490544542548</v>
      </c>
      <c r="AP51" s="48">
        <f t="shared" si="97"/>
        <v>0.43221131118789868</v>
      </c>
      <c r="AQ51" s="48">
        <f t="shared" si="98"/>
        <v>3.5023912404508327E-2</v>
      </c>
      <c r="AR51" s="33"/>
      <c r="AS51" s="48"/>
      <c r="AT51" s="33">
        <f t="shared" si="99"/>
        <v>163793.51664313264</v>
      </c>
      <c r="AU51" s="33">
        <f t="shared" si="100"/>
        <v>172.89096551230611</v>
      </c>
      <c r="AV51" s="35">
        <f t="shared" si="101"/>
        <v>674.23042648893693</v>
      </c>
      <c r="AW51" s="33"/>
      <c r="AX51" s="35"/>
      <c r="AY51" s="33"/>
      <c r="AZ51" s="33"/>
      <c r="BA51" s="33"/>
      <c r="BB51" s="49"/>
      <c r="BD51" s="33"/>
      <c r="BE51" s="36"/>
      <c r="BF51" s="36"/>
      <c r="BG51" s="33"/>
      <c r="BH51" s="33"/>
      <c r="BI51" s="38"/>
    </row>
    <row r="52" spans="1:61" x14ac:dyDescent="0.55000000000000004">
      <c r="B52" s="37"/>
      <c r="C52" s="135" t="s">
        <v>276</v>
      </c>
      <c r="D52" s="158" t="s">
        <v>248</v>
      </c>
      <c r="E52" s="37" t="s">
        <v>187</v>
      </c>
      <c r="F52" s="158" t="s">
        <v>253</v>
      </c>
      <c r="H52" s="32">
        <v>7850</v>
      </c>
      <c r="J52" s="94">
        <f t="shared" si="81"/>
        <v>675.2807790675073</v>
      </c>
      <c r="K52" s="35"/>
      <c r="L52" s="23">
        <v>2.7084999999999999</v>
      </c>
      <c r="M52" s="23">
        <v>1.8725000000000001</v>
      </c>
      <c r="N52" s="23">
        <v>3.4615</v>
      </c>
      <c r="O52" s="23">
        <v>0.28049999999999997</v>
      </c>
      <c r="P52" s="33"/>
      <c r="Q52" s="23">
        <v>2.2749999999999999</v>
      </c>
      <c r="R52" s="23">
        <v>0.50900000000000001</v>
      </c>
      <c r="S52" s="23">
        <v>0.217</v>
      </c>
      <c r="T52" s="23">
        <v>2.8000000000000001E-2</v>
      </c>
      <c r="U52" s="33"/>
      <c r="V52" s="48">
        <f t="shared" si="82"/>
        <v>0.74533479692645443</v>
      </c>
      <c r="W52" s="33">
        <f t="shared" si="83"/>
        <v>0.17191589968757917</v>
      </c>
      <c r="X52" s="48">
        <f t="shared" si="84"/>
        <v>7.3292240141855952E-2</v>
      </c>
      <c r="Y52" s="48">
        <f t="shared" si="85"/>
        <v>9.4570632441104453E-3</v>
      </c>
      <c r="Z52" s="48"/>
      <c r="AA52" s="48">
        <f t="shared" si="86"/>
        <v>-0.20339118466210754</v>
      </c>
      <c r="AB52" s="48">
        <f t="shared" si="87"/>
        <v>4.1685808985683229E-3</v>
      </c>
      <c r="AC52" s="48">
        <f t="shared" si="88"/>
        <v>143.59916817740736</v>
      </c>
      <c r="AD52" s="48"/>
      <c r="AE52" s="48">
        <f t="shared" si="89"/>
        <v>-1.650274428172366</v>
      </c>
      <c r="AF52" s="48">
        <f t="shared" si="90"/>
        <v>6.8160997908812216E-3</v>
      </c>
      <c r="AG52" s="48">
        <f t="shared" si="91"/>
        <v>5908.3434716578085</v>
      </c>
      <c r="AH52" s="33"/>
      <c r="AI52" s="48">
        <f t="shared" si="92"/>
        <v>-1.8717711826827366</v>
      </c>
      <c r="AJ52" s="48">
        <f t="shared" si="93"/>
        <v>2.4922574058635912E-2</v>
      </c>
      <c r="AK52" s="48">
        <f t="shared" si="94"/>
        <v>5171.1885044519386</v>
      </c>
      <c r="AL52" s="33"/>
      <c r="AM52" s="33"/>
      <c r="AN52" s="48">
        <f t="shared" si="95"/>
        <v>0.29895987096216742</v>
      </c>
      <c r="AO52" s="48">
        <f t="shared" si="96"/>
        <v>0.23380490544542548</v>
      </c>
      <c r="AP52" s="48">
        <f t="shared" si="97"/>
        <v>0.43221131118789868</v>
      </c>
      <c r="AQ52" s="48">
        <f t="shared" si="98"/>
        <v>3.5023912404508327E-2</v>
      </c>
      <c r="AR52" s="33"/>
      <c r="AS52" s="48"/>
      <c r="AT52" s="33">
        <f t="shared" si="99"/>
        <v>163826.30731249831</v>
      </c>
      <c r="AU52" s="33">
        <f t="shared" si="100"/>
        <v>172.73406866189177</v>
      </c>
      <c r="AV52" s="35">
        <f t="shared" si="101"/>
        <v>675.2807790675073</v>
      </c>
      <c r="AW52" s="33"/>
      <c r="AX52" s="35"/>
      <c r="AY52" s="33"/>
      <c r="AZ52" s="33"/>
      <c r="BA52" s="33"/>
      <c r="BB52" s="49"/>
      <c r="BD52" s="33"/>
      <c r="BE52" s="36"/>
      <c r="BF52" s="36"/>
      <c r="BG52" s="33"/>
      <c r="BH52" s="33"/>
      <c r="BI52" s="38"/>
    </row>
    <row r="53" spans="1:61" s="88" customFormat="1" x14ac:dyDescent="0.55000000000000004">
      <c r="C53" s="135"/>
      <c r="D53" s="141"/>
      <c r="E53" s="135"/>
      <c r="F53" s="141"/>
      <c r="H53" s="168"/>
      <c r="I53" s="88" t="s">
        <v>59</v>
      </c>
      <c r="J53" s="153">
        <f>AVERAGE(J42:J52)</f>
        <v>670.19688362562749</v>
      </c>
      <c r="K53" s="104"/>
      <c r="L53" s="169"/>
      <c r="M53" s="169"/>
      <c r="N53" s="169"/>
      <c r="O53" s="169"/>
      <c r="P53" s="103"/>
      <c r="Q53" s="169"/>
      <c r="R53" s="169"/>
      <c r="S53" s="169"/>
      <c r="T53" s="169"/>
      <c r="U53" s="103"/>
      <c r="V53" s="105"/>
      <c r="W53" s="103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3"/>
      <c r="AI53" s="105"/>
      <c r="AJ53" s="105"/>
      <c r="AK53" s="105"/>
      <c r="AL53" s="103"/>
      <c r="AM53" s="103"/>
      <c r="AN53" s="105"/>
      <c r="AO53" s="105"/>
      <c r="AP53" s="105"/>
      <c r="AQ53" s="105"/>
      <c r="AR53" s="103"/>
      <c r="AS53" s="105"/>
      <c r="AT53" s="103"/>
      <c r="AU53" s="103"/>
      <c r="AV53" s="104"/>
      <c r="AW53" s="103"/>
      <c r="AX53" s="104"/>
      <c r="AY53" s="103"/>
      <c r="AZ53" s="103"/>
      <c r="BA53" s="103"/>
      <c r="BB53" s="106"/>
      <c r="BD53" s="103"/>
      <c r="BE53" s="107"/>
      <c r="BF53" s="107"/>
      <c r="BG53" s="103"/>
      <c r="BH53" s="103"/>
      <c r="BI53" s="108"/>
    </row>
    <row r="54" spans="1:61" s="109" customFormat="1" x14ac:dyDescent="0.55000000000000004">
      <c r="C54" s="136"/>
      <c r="D54" s="142"/>
      <c r="E54" s="136"/>
      <c r="F54" s="142"/>
      <c r="H54" s="40"/>
      <c r="J54" s="154"/>
      <c r="K54" s="111"/>
      <c r="L54" s="96"/>
      <c r="M54" s="96"/>
      <c r="N54" s="96"/>
      <c r="O54" s="96"/>
      <c r="P54" s="110"/>
      <c r="Q54" s="96"/>
      <c r="R54" s="96"/>
      <c r="S54" s="96"/>
      <c r="T54" s="96"/>
      <c r="U54" s="110"/>
      <c r="V54" s="112"/>
      <c r="W54" s="110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0"/>
      <c r="AI54" s="112"/>
      <c r="AJ54" s="112"/>
      <c r="AK54" s="112"/>
      <c r="AL54" s="110"/>
      <c r="AM54" s="110"/>
      <c r="AN54" s="112"/>
      <c r="AO54" s="112"/>
      <c r="AP54" s="112"/>
      <c r="AQ54" s="112"/>
      <c r="AR54" s="110"/>
      <c r="AS54" s="112"/>
      <c r="AT54" s="110"/>
      <c r="AU54" s="110"/>
      <c r="AV54" s="111"/>
      <c r="AW54" s="110"/>
      <c r="AX54" s="111"/>
      <c r="AY54" s="110"/>
      <c r="AZ54" s="110"/>
      <c r="BA54" s="110"/>
      <c r="BB54" s="113"/>
      <c r="BD54" s="110"/>
      <c r="BE54" s="114"/>
      <c r="BF54" s="114"/>
      <c r="BG54" s="110"/>
      <c r="BH54" s="110"/>
      <c r="BI54" s="115"/>
    </row>
    <row r="55" spans="1:61" s="81" customFormat="1" x14ac:dyDescent="0.55000000000000004">
      <c r="B55" s="116"/>
      <c r="C55" s="138"/>
      <c r="D55" s="143"/>
      <c r="E55" s="134"/>
      <c r="F55" s="143"/>
      <c r="H55" s="23"/>
      <c r="J55" s="21"/>
      <c r="L55" s="23"/>
      <c r="M55" s="23"/>
      <c r="N55" s="23"/>
      <c r="O55" s="23"/>
      <c r="Q55" s="23"/>
      <c r="R55" s="23"/>
      <c r="S55" s="23"/>
      <c r="T55" s="23"/>
    </row>
    <row r="56" spans="1:61" x14ac:dyDescent="0.55000000000000004">
      <c r="A56" s="37" t="s">
        <v>142</v>
      </c>
      <c r="B56" s="47" t="s">
        <v>204</v>
      </c>
      <c r="C56" s="135" t="s">
        <v>143</v>
      </c>
      <c r="D56" s="158" t="s">
        <v>206</v>
      </c>
      <c r="E56" t="s">
        <v>288</v>
      </c>
      <c r="F56" s="158" t="s">
        <v>362</v>
      </c>
      <c r="H56" s="32">
        <v>8400</v>
      </c>
      <c r="I56" s="33"/>
      <c r="J56" s="94">
        <f t="shared" ref="J56:J66" si="102">AV56</f>
        <v>604.95390076792592</v>
      </c>
      <c r="K56" s="35"/>
      <c r="L56" s="23">
        <v>2.1539999999999999</v>
      </c>
      <c r="M56" s="23">
        <v>2.6429999999999998</v>
      </c>
      <c r="N56" s="23">
        <v>3.2240000000000002</v>
      </c>
      <c r="O56" s="23">
        <v>0.249</v>
      </c>
      <c r="P56" s="48"/>
      <c r="Q56" s="23">
        <v>1.8839999999999999</v>
      </c>
      <c r="R56" s="23">
        <v>0.34300000000000003</v>
      </c>
      <c r="S56" s="23">
        <v>0.442</v>
      </c>
      <c r="T56" s="23">
        <v>0.29599999999999999</v>
      </c>
      <c r="U56" s="48"/>
      <c r="V56" s="48">
        <f t="shared" ref="V56:V66" si="103">Q56*0.97/(Q56*0.97+R56+S56+T56)</f>
        <v>0.6283281989217735</v>
      </c>
      <c r="W56" s="33">
        <f t="shared" ref="W56:W66" si="104">R56/(Q56*0.97+R56+S56+T56)</f>
        <v>0.1179310155132578</v>
      </c>
      <c r="X56" s="48">
        <f t="shared" ref="X56:X66" si="105">S56/(Q56*0.97+R56+S56+T56)</f>
        <v>0.15196941357685115</v>
      </c>
      <c r="Y56" s="48">
        <f t="shared" ref="Y56:Y66" si="106">T56/(Q56*0.97+R56+S56+T56)</f>
        <v>0.1017713719881175</v>
      </c>
      <c r="Z56" s="48"/>
      <c r="AA56" s="48">
        <f t="shared" ref="AA56:AA66" si="107">5.993*W56*W56-9.67*X56*X56-11.006*V56*W56+0.674*V56*X56-9.5725*W56*X56-22.765*W56*Y56-4.6665*X56*Y56+11.006*V56*V56*W56-0.674*V56*V56*X56-11.986*W56*W56*V56+37.966*W56*W56*X56+46.02*W56*W56*Y56+19.34*X56*X56*V56+25.746*X56*X56*W56+46.02*Y56*Y56*W56+19.145*V56*W56*X56+45.53*V56*W56*Y56+9.333*V56*X56*Y56+77.876*W56*X56*Y56</f>
        <v>0.30316752040989492</v>
      </c>
      <c r="AB56" s="48">
        <f t="shared" ref="AB56:AB66" si="108">-0.034*W56*W56+0.135*X56*X56+0.024*Y56*Y56+0.1*V56*W56+0.08*V56*X56+0.048*V56*Y56-0.0515*W56*X56+0.07*W56*Y56+0.1765*X56*Y56-0.1*V56*V56*W56-0.08*V56*V56*X56-0.048*V56*V56*Y56+0.068*W56*W56*V56-0.136*W56*W56*X56-0.076*W56*W56*Y56-0.27*X56*X56*V56-0.28*X56*X56*W56-0.13*X56*X56*Y56-0.048*Y56*Y56*V56-0.076*Y56*Y56*W56-0.13*Y56*Y56*X56+0.103*V56*W56*X56-0.14*V56*W56*Y56-0.353*V56*X56*Y56-0.414*W56*X56*Y56</f>
        <v>2.7963343237587006E-3</v>
      </c>
      <c r="AC56" s="48">
        <f t="shared" ref="AC56:AC66" si="109">-5672*W56*W56+19932*X56*X56+1617*Y56*Y56+23244*V56*W56-2608*V56*X56+3234*V56*Y56+31326.5*W56*X56+45841*W56*Y56+12356*X56*Y56-23244*V56*V56*W56+2608*V56*V56*X56-3234*V56*V56*Y56+11344*W56*W56*V56-132228*W56*W56*X56-82498*W56*W56*Y56-39864*X56*X56*V56-51518*X56*X56*W56-2850*X56*X56*Y56-3234*Y56*Y56*V56-82498*Y56*Y56*W56-2850*Y56*Y56*X56-62653*V56*W56*X56-91682*V56*W56*Y56-24712*V56*X56*Y56-177221*W56*X56*Y56</f>
        <v>-783.8319538042083</v>
      </c>
      <c r="AD56" s="48"/>
      <c r="AE56" s="48">
        <f t="shared" ref="AE56:AE66" si="110">-5.503*V56*V56-12.873*X56*X56-23.01*Y56*Y56+11.986*V56*W56-9.5725*V56*X56-22.765*V56*Y56-37.966*W56*X56-46.02*W56*Y56-38.938*X56*Y56+11.006*V56*V56*W56-0.674*V56*V56*X56-11.986*W56*W56*V56+37.966*W56*W56*X56+46.02*W56*W56*Y56+19.34*X56*X56*V56+25.746*X56*X56*W56+46.02*Y56*Y56*W56+19.145*V56*W56*X56+45.53*V56*W56*Y56+9.333*V56*X56*Y56+77.876*W56*X56*Y56</f>
        <v>-4.3134997175912444</v>
      </c>
      <c r="AF56" s="48">
        <f t="shared" ref="AF56:AF66" si="111">0.05*V56*V56+0.14*X56*X56+0.038*Y56*Y56-0.068*V56*W56-0.0515*V56*X56+0.07*V56*Y56+0.136*W56*X56+0.076*W56*Y56+0.207*X56*Y56-0.1*V56*V56*W56-0.08*V56*V56*X56-0.048*V56*V56*Y56+0.068*W56*W56*V56-0.136*W56*W56*X56-0.076*W56*W56*Y56-0.27*X56*X56*V56-0.28*X56*X56*W56-0.13*X56*X56*Y56-0.048*Y56*Y56*V56-0.076*Y56*Y56*W56-0.13*Y56*Y56*X56+0.103*V56*W56*X56-0.14*V56*W56*Y56-0.353*V56*X56*Y56-0.414*W56*X56*Y56</f>
        <v>3.5751922741252217E-3</v>
      </c>
      <c r="AG56" s="48">
        <f t="shared" ref="AG56:AG66" si="112">11622*V56*V56+25759*X56*X56+41249*Y56*Y56-11344*V56*W56+31326.5*V56*X56+45841*V56*Y56+132228*W56*X56+82498*W56*Y56+88610.5*X56*Y56-23244*V56*V56*W56+2608*V56*V56*X56-3234*V56*V56*Y56+11344*W56*W56*V56-132228*W56*W56*X56-82498*W56*W56*Y56-39864*X56*X56*V56-51518*X56*X56*W56-2850*X56*X56*Y56-3234*Y56*Y56*V56-82498*Y56*Y56*W56-2850*Y56*Y56*X56-62653*V56*W56*X56-91682*V56*W56*Y56-24712*V56*X56*Y56-177221*W56*X56*Y56</f>
        <v>11257.983041114423</v>
      </c>
      <c r="AH56" s="33"/>
      <c r="AI56" s="48">
        <f t="shared" ref="AI56:AI66" si="113">0.337*V56*V56-18.983*W56*W56-9.5725*V56*W56-19.34*V56*X56-4.6665*V56*Y56-25.746*W56*X56-38.938*W56*Y56+11.006*V56*V56*W56-0.674*V56*V56*X56-11.986*W56*W56*V56+37.966*W56*W56*X56+46.02*W56*W56*Y56+19.34*X56*X56*V56+25.746*X56*X56*W56+46.02*Y56*Y56*W56+19.145*V56*W56*X56+45.53*V56*W56*Y56+9.333*V56*X56*Y56+77.876*W56*X56*Y56</f>
        <v>-2.2028671686308336</v>
      </c>
      <c r="AJ56" s="48">
        <f t="shared" ref="AJ56:AJ66" si="114">0.04*V56*V56+0.068*W56*W56+0.065*Y56*Y56-0.0515*V56*W56+0.27*V56*X56+0.1765*V56*Y56+0.28*W56*X56+0.207*W56*Y56+0.13*X56*Y56-0.1*V56*V56*W56-0.08*V56*V56*X56-0.048*V56*V56*Y56+0.068*W56*W56*V56-0.136*W56*W56*X56-0.076*W56*W56*Y56-0.27*X56*X56*V56-0.28*X56*X56*W56-0.13*X56*X56*Y56-0.048*Y56*Y56*V56-0.076*Y56*Y56*W56-0.13*Y56*Y56*X56+0.103*V56*W56*X56-0.14*V56*W56*Y56-0.353*V56*X56*Y56-0.414*W56*X56*Y56</f>
        <v>3.9313304079481963E-2</v>
      </c>
      <c r="AK56" s="48">
        <f t="shared" ref="AK56:AK66" si="115">-1304*V56*V56+66114*W56*W56+1425*Y56*Y56+31326.5*V56*W56+39864*V56*X56+12356*V56*Y56+51518*W56*X56+88610.5*W56*Y56+2850*X56*Y56-23244*V56*V56*W56+2608*V56*V56*X56-3234*V56*V56*Y56+11344*W56*W56*V56-132228*W56*W56*X56-82498*W56*W56*Y56-39864*X56*X56*V56-51518*X56*X56*W56-2850*X56*X56*Y56-3234*Y56*Y56*V56-82498*Y56*Y56*W56-2850*Y56*Y56*X56-62653*V56*W56*X56-91682*V56*W56*Y56-24712*V56*X56*Y56-177221*W56*X56*Y56</f>
        <v>5203.3218190461903</v>
      </c>
      <c r="AL56" s="33"/>
      <c r="AM56" s="33"/>
      <c r="AN56" s="48">
        <f t="shared" ref="AN56:AN66" si="116">L56*0.884/(L56*0.884+M56+N56+O56)</f>
        <v>0.23741941533161032</v>
      </c>
      <c r="AO56" s="48">
        <f t="shared" ref="AO56:AO66" si="117">M56/(L56*0.884+M56+N56+O56)</f>
        <v>0.32954553389119579</v>
      </c>
      <c r="AP56" s="48">
        <f t="shared" ref="AP56:AP66" si="118">N56/(L56*0.884+M56+N56+O56)</f>
        <v>0.40198819571139438</v>
      </c>
      <c r="AQ56" s="48">
        <f t="shared" ref="AQ56:AQ66" si="119">O56/(L56*0.884+M56+N56+O56)</f>
        <v>3.1046855065799378E-2</v>
      </c>
      <c r="AR56" s="33"/>
      <c r="AS56" s="48"/>
      <c r="AT56" s="33">
        <f t="shared" ref="AT56:AT66" si="120">40198+(0.295-(AB56-AF56))*H56-(AC56-AG56)+22998*(AO56-AN56)+245559*AP56+310990*AQ56</f>
        <v>165210.1546839423</v>
      </c>
      <c r="AU56" s="33">
        <f t="shared" ref="AU56:AU66" si="121">7.802+3*8.3144*LN((V56/W56)/(AN56/AO56))+(AA56-AE56)+17.396*(AO56-AN56)+280.396*AP56+370.39*AQ56</f>
        <v>188.14419858454278</v>
      </c>
      <c r="AV56" s="35">
        <f t="shared" ref="AV56:AV66" si="122">AT56/AU56-273.15</f>
        <v>604.95390076792592</v>
      </c>
      <c r="AW56" s="33"/>
      <c r="AX56" s="35"/>
      <c r="AY56" s="33"/>
      <c r="AZ56" s="33"/>
      <c r="BA56" s="33"/>
      <c r="BB56" s="34"/>
      <c r="BC56" s="35"/>
      <c r="BD56" s="33"/>
      <c r="BE56" s="36"/>
      <c r="BG56" s="33"/>
      <c r="BH56" s="33"/>
      <c r="BI56" s="38"/>
    </row>
    <row r="57" spans="1:61" x14ac:dyDescent="0.55000000000000004">
      <c r="C57" s="135" t="s">
        <v>144</v>
      </c>
      <c r="D57" s="158" t="s">
        <v>230</v>
      </c>
      <c r="E57" t="s">
        <v>289</v>
      </c>
      <c r="F57" s="158" t="s">
        <v>239</v>
      </c>
      <c r="H57" s="32">
        <v>8400</v>
      </c>
      <c r="I57" s="33"/>
      <c r="J57" s="94">
        <f t="shared" si="102"/>
        <v>604.76383997843254</v>
      </c>
      <c r="K57" s="35"/>
      <c r="L57" s="23">
        <v>2.165</v>
      </c>
      <c r="M57" s="23">
        <v>2.7559999999999998</v>
      </c>
      <c r="N57" s="23">
        <v>2.9180000000000001</v>
      </c>
      <c r="O57" s="23">
        <v>0.251</v>
      </c>
      <c r="P57" s="48"/>
      <c r="Q57" s="23">
        <v>1.873</v>
      </c>
      <c r="R57" s="23">
        <v>0.34899999999999998</v>
      </c>
      <c r="S57" s="23">
        <v>0.51900000000000002</v>
      </c>
      <c r="T57" s="23">
        <v>0.245</v>
      </c>
      <c r="U57" s="48"/>
      <c r="V57" s="48">
        <f t="shared" si="103"/>
        <v>0.62011188438840736</v>
      </c>
      <c r="W57" s="33">
        <f t="shared" si="104"/>
        <v>0.11912035251432684</v>
      </c>
      <c r="X57" s="48">
        <f t="shared" si="105"/>
        <v>0.17714459299408494</v>
      </c>
      <c r="Y57" s="48">
        <f t="shared" si="106"/>
        <v>8.3623170103180738E-2</v>
      </c>
      <c r="Z57" s="48"/>
      <c r="AA57" s="48">
        <f t="shared" si="107"/>
        <v>0.31338242978928466</v>
      </c>
      <c r="AB57" s="48">
        <f t="shared" si="108"/>
        <v>2.8388598208669538E-3</v>
      </c>
      <c r="AC57" s="48">
        <f t="shared" si="109"/>
        <v>-854.24395248211522</v>
      </c>
      <c r="AD57" s="48"/>
      <c r="AE57" s="48">
        <f t="shared" si="110"/>
        <v>-4.0953566780804058</v>
      </c>
      <c r="AF57" s="48">
        <f t="shared" si="111"/>
        <v>1.5569643164139902E-3</v>
      </c>
      <c r="AG57" s="48">
        <f t="shared" si="112"/>
        <v>11161.412564835544</v>
      </c>
      <c r="AH57" s="33"/>
      <c r="AI57" s="48">
        <f t="shared" si="113"/>
        <v>-2.3758662594829327</v>
      </c>
      <c r="AJ57" s="48">
        <f t="shared" si="114"/>
        <v>3.9733018990914436E-2</v>
      </c>
      <c r="AK57" s="48">
        <f t="shared" si="115"/>
        <v>5483.0073989081684</v>
      </c>
      <c r="AL57" s="33"/>
      <c r="AM57" s="33"/>
      <c r="AN57" s="48">
        <f t="shared" si="116"/>
        <v>0.24415029736466781</v>
      </c>
      <c r="AO57" s="48">
        <f t="shared" si="117"/>
        <v>0.35158173509923635</v>
      </c>
      <c r="AP57" s="48">
        <f t="shared" si="118"/>
        <v>0.37224800544977205</v>
      </c>
      <c r="AQ57" s="48">
        <f t="shared" si="119"/>
        <v>3.2019962086323774E-2</v>
      </c>
      <c r="AR57" s="33"/>
      <c r="AS57" s="48"/>
      <c r="AT57" s="33">
        <f t="shared" si="120"/>
        <v>158518.33277956626</v>
      </c>
      <c r="AU57" s="33">
        <f t="shared" si="121"/>
        <v>180.56251714115879</v>
      </c>
      <c r="AV57" s="35">
        <f t="shared" si="122"/>
        <v>604.76383997843254</v>
      </c>
      <c r="AW57" s="33"/>
      <c r="AX57" s="35"/>
      <c r="AY57" s="33"/>
      <c r="AZ57" s="33"/>
      <c r="BA57" s="33"/>
      <c r="BB57" s="34"/>
      <c r="BC57" s="35"/>
      <c r="BD57" s="33"/>
      <c r="BE57" s="36"/>
      <c r="BG57" s="33"/>
      <c r="BH57" s="33"/>
      <c r="BI57" s="38"/>
    </row>
    <row r="58" spans="1:61" x14ac:dyDescent="0.55000000000000004">
      <c r="C58" s="135" t="s">
        <v>145</v>
      </c>
      <c r="D58" s="158" t="s">
        <v>231</v>
      </c>
      <c r="E58" t="s">
        <v>290</v>
      </c>
      <c r="F58" s="158" t="s">
        <v>240</v>
      </c>
      <c r="H58" s="32">
        <v>8400</v>
      </c>
      <c r="I58" s="33"/>
      <c r="J58" s="94">
        <f t="shared" si="102"/>
        <v>613.43832655046879</v>
      </c>
      <c r="K58" s="35"/>
      <c r="L58" s="23">
        <v>2.2010000000000001</v>
      </c>
      <c r="M58" s="23">
        <v>2.7370000000000001</v>
      </c>
      <c r="N58" s="23">
        <v>2.948</v>
      </c>
      <c r="O58" s="23">
        <v>0.26400000000000001</v>
      </c>
      <c r="P58" s="48"/>
      <c r="Q58" s="23">
        <v>1.869</v>
      </c>
      <c r="R58" s="23">
        <v>0.36699999999999999</v>
      </c>
      <c r="S58" s="23">
        <v>0.55100000000000005</v>
      </c>
      <c r="T58" s="23">
        <v>0.217</v>
      </c>
      <c r="U58" s="48"/>
      <c r="V58" s="48">
        <f t="shared" si="103"/>
        <v>0.61498407357026796</v>
      </c>
      <c r="W58" s="33">
        <f t="shared" si="104"/>
        <v>0.12449413656362261</v>
      </c>
      <c r="X58" s="48">
        <f t="shared" si="105"/>
        <v>0.18691081538571136</v>
      </c>
      <c r="Y58" s="48">
        <f t="shared" si="106"/>
        <v>7.3610974480398106E-2</v>
      </c>
      <c r="Z58" s="48"/>
      <c r="AA58" s="48">
        <f t="shared" si="107"/>
        <v>0.31459337061653603</v>
      </c>
      <c r="AB58" s="48">
        <f t="shared" si="108"/>
        <v>2.9763155172144702E-3</v>
      </c>
      <c r="AC58" s="48">
        <f t="shared" si="109"/>
        <v>-889.81092123955955</v>
      </c>
      <c r="AD58" s="48"/>
      <c r="AE58" s="48">
        <f t="shared" si="110"/>
        <v>-3.8895319433544668</v>
      </c>
      <c r="AF58" s="48">
        <f t="shared" si="111"/>
        <v>5.1967800529410726E-4</v>
      </c>
      <c r="AG58" s="48">
        <f t="shared" si="112"/>
        <v>10926.271748458248</v>
      </c>
      <c r="AH58" s="33"/>
      <c r="AI58" s="48">
        <f t="shared" si="113"/>
        <v>-2.4696258260668276</v>
      </c>
      <c r="AJ58" s="48">
        <f t="shared" si="114"/>
        <v>3.9578711891280351E-2</v>
      </c>
      <c r="AK58" s="48">
        <f t="shared" si="115"/>
        <v>5677.0221553345928</v>
      </c>
      <c r="AL58" s="33"/>
      <c r="AM58" s="33"/>
      <c r="AN58" s="48">
        <f t="shared" si="116"/>
        <v>0.24645495627184061</v>
      </c>
      <c r="AO58" s="48">
        <f t="shared" si="117"/>
        <v>0.34668898717162078</v>
      </c>
      <c r="AP58" s="48">
        <f t="shared" si="118"/>
        <v>0.3734158327299737</v>
      </c>
      <c r="AQ58" s="48">
        <f t="shared" si="119"/>
        <v>3.3440223826564808E-2</v>
      </c>
      <c r="AR58" s="33"/>
      <c r="AS58" s="48"/>
      <c r="AT58" s="33">
        <f t="shared" si="120"/>
        <v>158871.82283439382</v>
      </c>
      <c r="AU58" s="33">
        <f t="shared" si="121"/>
        <v>179.19458002851349</v>
      </c>
      <c r="AV58" s="35">
        <f t="shared" si="122"/>
        <v>613.43832655046879</v>
      </c>
      <c r="AW58" s="33"/>
      <c r="AX58" s="35"/>
      <c r="AY58" s="33"/>
      <c r="AZ58" s="33"/>
      <c r="BA58" s="33"/>
      <c r="BB58" s="34"/>
      <c r="BC58" s="35"/>
      <c r="BD58" s="33"/>
      <c r="BE58" s="36"/>
      <c r="BG58" s="33"/>
      <c r="BH58" s="33"/>
      <c r="BI58" s="38"/>
    </row>
    <row r="59" spans="1:61" x14ac:dyDescent="0.55000000000000004">
      <c r="C59" s="135" t="s">
        <v>146</v>
      </c>
      <c r="D59" s="158" t="s">
        <v>232</v>
      </c>
      <c r="E59" t="s">
        <v>291</v>
      </c>
      <c r="F59" s="158" t="s">
        <v>241</v>
      </c>
      <c r="H59" s="32">
        <v>8400</v>
      </c>
      <c r="I59" s="33"/>
      <c r="J59" s="94">
        <f t="shared" si="102"/>
        <v>621.71634185717926</v>
      </c>
      <c r="K59" s="35"/>
      <c r="L59" s="23">
        <v>2.1549999999999998</v>
      </c>
      <c r="M59" s="23">
        <v>2.6739999999999999</v>
      </c>
      <c r="N59" s="23">
        <v>3.1680000000000001</v>
      </c>
      <c r="O59" s="23">
        <v>0.24099999999999999</v>
      </c>
      <c r="P59" s="48"/>
      <c r="Q59" s="23">
        <v>1.857</v>
      </c>
      <c r="R59" s="23">
        <v>0.39200000000000002</v>
      </c>
      <c r="S59" s="23">
        <v>0.56200000000000006</v>
      </c>
      <c r="T59" s="23">
        <v>0.19800000000000001</v>
      </c>
      <c r="U59" s="48"/>
      <c r="V59" s="48">
        <f t="shared" si="103"/>
        <v>0.60992655648446314</v>
      </c>
      <c r="W59" s="33">
        <f t="shared" si="104"/>
        <v>0.13273332452959244</v>
      </c>
      <c r="X59" s="48">
        <f t="shared" si="105"/>
        <v>0.19029624588171162</v>
      </c>
      <c r="Y59" s="48">
        <f t="shared" si="106"/>
        <v>6.7043873104232918E-2</v>
      </c>
      <c r="Z59" s="48"/>
      <c r="AA59" s="48">
        <f t="shared" si="107"/>
        <v>0.31224388471598363</v>
      </c>
      <c r="AB59" s="48">
        <f t="shared" si="108"/>
        <v>3.1678609779264935E-3</v>
      </c>
      <c r="AC59" s="48">
        <f t="shared" si="109"/>
        <v>-916.16098759919873</v>
      </c>
      <c r="AD59" s="48"/>
      <c r="AE59" s="48">
        <f t="shared" si="110"/>
        <v>-3.6801044076794747</v>
      </c>
      <c r="AF59" s="48">
        <f t="shared" si="111"/>
        <v>-1.741227331012985E-4</v>
      </c>
      <c r="AG59" s="48">
        <f t="shared" si="112"/>
        <v>10624.925693313267</v>
      </c>
      <c r="AH59" s="33"/>
      <c r="AI59" s="48">
        <f t="shared" si="113"/>
        <v>-2.5428789345759575</v>
      </c>
      <c r="AJ59" s="48">
        <f t="shared" si="114"/>
        <v>3.9182259644749341E-2</v>
      </c>
      <c r="AK59" s="48">
        <f t="shared" si="115"/>
        <v>5867.0950306945178</v>
      </c>
      <c r="AL59" s="33"/>
      <c r="AM59" s="33"/>
      <c r="AN59" s="48">
        <f t="shared" si="116"/>
        <v>0.23848463073452494</v>
      </c>
      <c r="AO59" s="48">
        <f t="shared" si="117"/>
        <v>0.33475129005686016</v>
      </c>
      <c r="AP59" s="48">
        <f t="shared" si="118"/>
        <v>0.39659389936429806</v>
      </c>
      <c r="AQ59" s="48">
        <f t="shared" si="119"/>
        <v>3.0170179844316865E-2</v>
      </c>
      <c r="AR59" s="33"/>
      <c r="AS59" s="48"/>
      <c r="AT59" s="33">
        <f t="shared" si="120"/>
        <v>163172.78021261666</v>
      </c>
      <c r="AU59" s="33">
        <f t="shared" si="121"/>
        <v>182.34318644052775</v>
      </c>
      <c r="AV59" s="35">
        <f t="shared" si="122"/>
        <v>621.71634185717926</v>
      </c>
      <c r="AW59" s="33"/>
      <c r="AX59" s="35"/>
      <c r="AY59" s="33"/>
      <c r="AZ59" s="33"/>
      <c r="BA59" s="33"/>
      <c r="BB59" s="34"/>
      <c r="BC59" s="35"/>
      <c r="BD59" s="33"/>
      <c r="BE59" s="36"/>
      <c r="BG59" s="33"/>
      <c r="BH59" s="33"/>
      <c r="BI59" s="38"/>
    </row>
    <row r="60" spans="1:61" x14ac:dyDescent="0.55000000000000004">
      <c r="C60" s="135" t="s">
        <v>58</v>
      </c>
      <c r="D60" s="158" t="s">
        <v>287</v>
      </c>
      <c r="E60" t="s">
        <v>292</v>
      </c>
      <c r="F60" s="158" t="s">
        <v>242</v>
      </c>
      <c r="H60" s="32">
        <v>8400</v>
      </c>
      <c r="I60" s="33"/>
      <c r="J60" s="94">
        <f t="shared" si="102"/>
        <v>624.74013438015584</v>
      </c>
      <c r="K60" s="35"/>
      <c r="L60" s="127">
        <v>2.1687499999999997</v>
      </c>
      <c r="M60" s="127">
        <v>2.7024999999999997</v>
      </c>
      <c r="N60" s="127">
        <v>3.0644999999999998</v>
      </c>
      <c r="O60" s="127">
        <v>0.25124999999999997</v>
      </c>
      <c r="P60" s="48"/>
      <c r="Q60" s="23">
        <v>1.863</v>
      </c>
      <c r="R60" s="23">
        <v>0.40600000000000003</v>
      </c>
      <c r="S60" s="23">
        <v>0.56599999999999995</v>
      </c>
      <c r="T60" s="23">
        <v>0.17499999999999999</v>
      </c>
      <c r="U60" s="48"/>
      <c r="V60" s="48">
        <f t="shared" si="103"/>
        <v>0.61172738997532261</v>
      </c>
      <c r="W60" s="33">
        <f t="shared" si="104"/>
        <v>0.13743564051440199</v>
      </c>
      <c r="X60" s="48">
        <f t="shared" si="105"/>
        <v>0.19159746928855054</v>
      </c>
      <c r="Y60" s="48">
        <f t="shared" si="106"/>
        <v>5.9239500221724993E-2</v>
      </c>
      <c r="Z60" s="48"/>
      <c r="AA60" s="48">
        <f t="shared" si="107"/>
        <v>0.29746657859039777</v>
      </c>
      <c r="AB60" s="48">
        <f t="shared" si="108"/>
        <v>3.2831878468221744E-3</v>
      </c>
      <c r="AC60" s="48">
        <f t="shared" si="109"/>
        <v>-909.42735387851553</v>
      </c>
      <c r="AD60" s="48"/>
      <c r="AE60" s="48">
        <f t="shared" si="110"/>
        <v>-3.4922322682372613</v>
      </c>
      <c r="AF60" s="48">
        <f t="shared" si="111"/>
        <v>-5.3861961053063869E-4</v>
      </c>
      <c r="AG60" s="48">
        <f t="shared" si="112"/>
        <v>10334.082925796798</v>
      </c>
      <c r="AH60" s="33"/>
      <c r="AI60" s="48">
        <f t="shared" si="113"/>
        <v>-2.59213513364588</v>
      </c>
      <c r="AJ60" s="48">
        <f t="shared" si="114"/>
        <v>3.8871694340407562E-2</v>
      </c>
      <c r="AK60" s="48">
        <f t="shared" si="115"/>
        <v>5986.2110764141062</v>
      </c>
      <c r="AL60" s="33"/>
      <c r="AM60" s="33"/>
      <c r="AN60" s="48">
        <f t="shared" si="116"/>
        <v>0.24159701591282132</v>
      </c>
      <c r="AO60" s="48">
        <f t="shared" si="117"/>
        <v>0.34056146961252864</v>
      </c>
      <c r="AP60" s="48">
        <f t="shared" si="118"/>
        <v>0.38617969421927628</v>
      </c>
      <c r="AQ60" s="48">
        <f t="shared" si="119"/>
        <v>3.1661820255373847E-2</v>
      </c>
      <c r="AR60" s="33"/>
      <c r="AS60" s="48"/>
      <c r="AT60" s="33">
        <f t="shared" si="120"/>
        <v>160839.8006172294</v>
      </c>
      <c r="AU60" s="33">
        <f t="shared" si="121"/>
        <v>179.13082509617126</v>
      </c>
      <c r="AV60" s="35">
        <f t="shared" si="122"/>
        <v>624.74013438015584</v>
      </c>
      <c r="AW60" s="33"/>
      <c r="AX60" s="35"/>
      <c r="AY60" s="33"/>
      <c r="AZ60" s="33"/>
      <c r="BA60" s="33"/>
      <c r="BB60" s="34"/>
      <c r="BC60" s="35"/>
      <c r="BD60" s="33"/>
      <c r="BE60" s="36"/>
      <c r="BG60" s="33"/>
      <c r="BH60" s="33"/>
      <c r="BI60" s="38"/>
    </row>
    <row r="61" spans="1:61" x14ac:dyDescent="0.55000000000000004">
      <c r="C61" s="135" t="s">
        <v>58</v>
      </c>
      <c r="D61" s="158" t="s">
        <v>287</v>
      </c>
      <c r="E61" t="s">
        <v>293</v>
      </c>
      <c r="F61" s="158" t="s">
        <v>243</v>
      </c>
      <c r="H61" s="32">
        <v>8400</v>
      </c>
      <c r="I61" s="33"/>
      <c r="J61" s="94">
        <f t="shared" si="102"/>
        <v>625.18043375844661</v>
      </c>
      <c r="K61" s="35"/>
      <c r="L61" s="127">
        <v>2.1687499999999997</v>
      </c>
      <c r="M61" s="127">
        <v>2.7024999999999997</v>
      </c>
      <c r="N61" s="127">
        <v>3.0644999999999998</v>
      </c>
      <c r="O61" s="127">
        <v>0.25124999999999997</v>
      </c>
      <c r="P61" s="48"/>
      <c r="Q61" s="23">
        <v>1.869</v>
      </c>
      <c r="R61" s="23">
        <v>0.41</v>
      </c>
      <c r="S61" s="23">
        <v>0.56000000000000005</v>
      </c>
      <c r="T61" s="23">
        <v>0.16900000000000001</v>
      </c>
      <c r="U61" s="48"/>
      <c r="V61" s="48">
        <f t="shared" si="103"/>
        <v>0.61415074205689157</v>
      </c>
      <c r="W61" s="33">
        <f t="shared" si="104"/>
        <v>0.13889218240269924</v>
      </c>
      <c r="X61" s="48">
        <f t="shared" si="105"/>
        <v>0.18970639547685753</v>
      </c>
      <c r="Y61" s="48">
        <f t="shared" si="106"/>
        <v>5.7250680063551648E-2</v>
      </c>
      <c r="Z61" s="48"/>
      <c r="AA61" s="48">
        <f t="shared" si="107"/>
        <v>0.28847801440307691</v>
      </c>
      <c r="AB61" s="48">
        <f t="shared" si="108"/>
        <v>3.3175433880392813E-3</v>
      </c>
      <c r="AC61" s="48">
        <f t="shared" si="109"/>
        <v>-895.69476249594436</v>
      </c>
      <c r="AD61" s="48"/>
      <c r="AE61" s="48">
        <f t="shared" si="110"/>
        <v>-3.43171408675811</v>
      </c>
      <c r="AF61" s="48">
        <f t="shared" si="111"/>
        <v>-5.0015844748399398E-4</v>
      </c>
      <c r="AG61" s="48">
        <f t="shared" si="112"/>
        <v>10216.580706555109</v>
      </c>
      <c r="AH61" s="33"/>
      <c r="AI61" s="48">
        <f t="shared" si="113"/>
        <v>-2.5958832817884301</v>
      </c>
      <c r="AJ61" s="48">
        <f t="shared" si="114"/>
        <v>3.869901505488052E-2</v>
      </c>
      <c r="AK61" s="48">
        <f t="shared" si="115"/>
        <v>6006.7209019110296</v>
      </c>
      <c r="AL61" s="33"/>
      <c r="AM61" s="33"/>
      <c r="AN61" s="48">
        <f t="shared" si="116"/>
        <v>0.24159701591282132</v>
      </c>
      <c r="AO61" s="48">
        <f t="shared" si="117"/>
        <v>0.34056146961252864</v>
      </c>
      <c r="AP61" s="48">
        <f t="shared" si="118"/>
        <v>0.38617969421927628</v>
      </c>
      <c r="AQ61" s="48">
        <f t="shared" si="119"/>
        <v>3.1661820255373847E-2</v>
      </c>
      <c r="AR61" s="33"/>
      <c r="AS61" s="48"/>
      <c r="AT61" s="33">
        <f t="shared" si="120"/>
        <v>160708.60029382849</v>
      </c>
      <c r="AU61" s="33">
        <f t="shared" si="121"/>
        <v>178.89697849983079</v>
      </c>
      <c r="AV61" s="35">
        <f t="shared" si="122"/>
        <v>625.18043375844661</v>
      </c>
      <c r="AW61" s="33"/>
      <c r="AX61" s="35"/>
      <c r="AY61" s="33"/>
      <c r="AZ61" s="33"/>
      <c r="BA61" s="33"/>
      <c r="BB61" s="34"/>
      <c r="BC61" s="35"/>
      <c r="BD61" s="33"/>
      <c r="BE61" s="36"/>
      <c r="BG61" s="33"/>
      <c r="BH61" s="33"/>
      <c r="BI61" s="38"/>
    </row>
    <row r="62" spans="1:61" x14ac:dyDescent="0.55000000000000004">
      <c r="C62" s="135" t="s">
        <v>58</v>
      </c>
      <c r="D62" s="158" t="s">
        <v>287</v>
      </c>
      <c r="E62" t="s">
        <v>294</v>
      </c>
      <c r="F62" s="158" t="s">
        <v>244</v>
      </c>
      <c r="H62" s="32">
        <v>8400</v>
      </c>
      <c r="I62" s="33"/>
      <c r="J62" s="94">
        <f t="shared" si="102"/>
        <v>627.53594337185837</v>
      </c>
      <c r="K62" s="35"/>
      <c r="L62" s="127">
        <v>2.1687499999999997</v>
      </c>
      <c r="M62" s="127">
        <v>2.7024999999999997</v>
      </c>
      <c r="N62" s="127">
        <v>3.0644999999999998</v>
      </c>
      <c r="O62" s="127">
        <v>0.25124999999999997</v>
      </c>
      <c r="P62" s="48"/>
      <c r="Q62" s="23">
        <v>1.87</v>
      </c>
      <c r="R62" s="23">
        <v>0.41799999999999998</v>
      </c>
      <c r="S62" s="23">
        <v>0.57299999999999995</v>
      </c>
      <c r="T62" s="23">
        <v>0.16</v>
      </c>
      <c r="U62" s="48"/>
      <c r="V62" s="48">
        <f t="shared" si="103"/>
        <v>0.61179129144321898</v>
      </c>
      <c r="W62" s="33">
        <f t="shared" si="104"/>
        <v>0.14098283247327059</v>
      </c>
      <c r="X62" s="48">
        <f t="shared" si="105"/>
        <v>0.19326115551957906</v>
      </c>
      <c r="Y62" s="48">
        <f t="shared" si="106"/>
        <v>5.3964720563931326E-2</v>
      </c>
      <c r="Z62" s="48"/>
      <c r="AA62" s="48">
        <f t="shared" si="107"/>
        <v>0.2886227732645068</v>
      </c>
      <c r="AB62" s="48">
        <f t="shared" si="108"/>
        <v>3.3733489828255414E-3</v>
      </c>
      <c r="AC62" s="48">
        <f t="shared" si="109"/>
        <v>-909.36868993692724</v>
      </c>
      <c r="AD62" s="48"/>
      <c r="AE62" s="48">
        <f t="shared" si="110"/>
        <v>-3.3648056896998968</v>
      </c>
      <c r="AF62" s="48">
        <f t="shared" si="111"/>
        <v>-8.484324667655922E-4</v>
      </c>
      <c r="AG62" s="48">
        <f t="shared" si="112"/>
        <v>10145.439728914176</v>
      </c>
      <c r="AH62" s="33"/>
      <c r="AI62" s="48">
        <f t="shared" si="113"/>
        <v>-2.6323324950393463</v>
      </c>
      <c r="AJ62" s="48">
        <f t="shared" si="114"/>
        <v>3.8678992962341868E-2</v>
      </c>
      <c r="AK62" s="48">
        <f t="shared" si="115"/>
        <v>6080.7680691901287</v>
      </c>
      <c r="AL62" s="33"/>
      <c r="AM62" s="33"/>
      <c r="AN62" s="48">
        <f t="shared" si="116"/>
        <v>0.24159701591282132</v>
      </c>
      <c r="AO62" s="48">
        <f t="shared" si="117"/>
        <v>0.34056146961252864</v>
      </c>
      <c r="AP62" s="48">
        <f t="shared" si="118"/>
        <v>0.38617969421927628</v>
      </c>
      <c r="AQ62" s="48">
        <f t="shared" si="119"/>
        <v>3.1661820255373847E-2</v>
      </c>
      <c r="AR62" s="33"/>
      <c r="AS62" s="48"/>
      <c r="AT62" s="33">
        <f t="shared" si="120"/>
        <v>160647.73897487039</v>
      </c>
      <c r="AU62" s="33">
        <f t="shared" si="121"/>
        <v>178.36154783704131</v>
      </c>
      <c r="AV62" s="35">
        <f t="shared" si="122"/>
        <v>627.53594337185837</v>
      </c>
      <c r="AW62" s="33"/>
      <c r="AX62" s="35"/>
      <c r="AY62" s="33"/>
      <c r="AZ62" s="33"/>
      <c r="BA62" s="33"/>
      <c r="BB62" s="34"/>
      <c r="BC62" s="35"/>
      <c r="BD62" s="33"/>
      <c r="BE62" s="36"/>
      <c r="BG62" s="33"/>
      <c r="BH62" s="33"/>
      <c r="BI62" s="38"/>
    </row>
    <row r="63" spans="1:61" x14ac:dyDescent="0.55000000000000004">
      <c r="C63" s="135" t="s">
        <v>58</v>
      </c>
      <c r="D63" s="158" t="s">
        <v>287</v>
      </c>
      <c r="E63" t="s">
        <v>295</v>
      </c>
      <c r="F63" s="158" t="s">
        <v>245</v>
      </c>
      <c r="H63" s="32">
        <v>8400</v>
      </c>
      <c r="I63" s="33"/>
      <c r="J63" s="94">
        <f t="shared" si="102"/>
        <v>629.20194589542984</v>
      </c>
      <c r="K63" s="35"/>
      <c r="L63" s="127">
        <v>2.1687499999999997</v>
      </c>
      <c r="M63" s="127">
        <v>2.7024999999999997</v>
      </c>
      <c r="N63" s="127">
        <v>3.0644999999999998</v>
      </c>
      <c r="O63" s="127">
        <v>0.25124999999999997</v>
      </c>
      <c r="P63" s="48"/>
      <c r="Q63" s="23">
        <v>1.8740000000000001</v>
      </c>
      <c r="R63" s="23">
        <v>0.42699999999999999</v>
      </c>
      <c r="S63" s="23">
        <v>0.55900000000000005</v>
      </c>
      <c r="T63" s="23">
        <v>0.15</v>
      </c>
      <c r="U63" s="48"/>
      <c r="V63" s="48">
        <f t="shared" si="103"/>
        <v>0.61540805340952942</v>
      </c>
      <c r="W63" s="33">
        <f t="shared" si="104"/>
        <v>0.14456052922018564</v>
      </c>
      <c r="X63" s="48">
        <f t="shared" si="105"/>
        <v>0.18924903005640231</v>
      </c>
      <c r="Y63" s="48">
        <f t="shared" si="106"/>
        <v>5.078238731388255E-2</v>
      </c>
      <c r="Z63" s="48"/>
      <c r="AA63" s="48">
        <f t="shared" si="107"/>
        <v>0.27166428698560358</v>
      </c>
      <c r="AB63" s="48">
        <f t="shared" si="108"/>
        <v>3.4589055064151971E-3</v>
      </c>
      <c r="AC63" s="48">
        <f t="shared" si="109"/>
        <v>-884.70649536263545</v>
      </c>
      <c r="AD63" s="48"/>
      <c r="AE63" s="48">
        <f t="shared" si="110"/>
        <v>-3.2479969418500438</v>
      </c>
      <c r="AF63" s="48">
        <f t="shared" si="111"/>
        <v>-7.8581576516490153E-4</v>
      </c>
      <c r="AG63" s="48">
        <f t="shared" si="112"/>
        <v>9915.3645510564893</v>
      </c>
      <c r="AH63" s="33"/>
      <c r="AI63" s="48">
        <f t="shared" si="113"/>
        <v>-2.6419136276344104</v>
      </c>
      <c r="AJ63" s="48">
        <f t="shared" si="114"/>
        <v>3.830452962003799E-2</v>
      </c>
      <c r="AK63" s="48">
        <f t="shared" si="115"/>
        <v>6132.8985584951315</v>
      </c>
      <c r="AL63" s="33"/>
      <c r="AM63" s="33"/>
      <c r="AN63" s="48">
        <f t="shared" si="116"/>
        <v>0.24159701591282132</v>
      </c>
      <c r="AO63" s="48">
        <f t="shared" si="117"/>
        <v>0.34056146961252864</v>
      </c>
      <c r="AP63" s="48">
        <f t="shared" si="118"/>
        <v>0.38617969421927628</v>
      </c>
      <c r="AQ63" s="48">
        <f t="shared" si="119"/>
        <v>3.1661820255373847E-2</v>
      </c>
      <c r="AR63" s="33"/>
      <c r="AS63" s="48"/>
      <c r="AT63" s="33">
        <f t="shared" si="120"/>
        <v>160392.80890793371</v>
      </c>
      <c r="AU63" s="33">
        <f t="shared" si="121"/>
        <v>177.74972352807563</v>
      </c>
      <c r="AV63" s="35">
        <f t="shared" si="122"/>
        <v>629.20194589542984</v>
      </c>
      <c r="AW63" s="33"/>
      <c r="AX63" s="35"/>
      <c r="AY63" s="33"/>
      <c r="AZ63" s="33"/>
      <c r="BA63" s="33"/>
      <c r="BB63" s="34"/>
      <c r="BC63" s="35"/>
      <c r="BD63" s="33"/>
      <c r="BE63" s="36"/>
      <c r="BG63" s="33"/>
      <c r="BH63" s="33"/>
      <c r="BI63" s="38"/>
    </row>
    <row r="64" spans="1:61" x14ac:dyDescent="0.55000000000000004">
      <c r="C64" s="135" t="s">
        <v>58</v>
      </c>
      <c r="D64" s="158" t="s">
        <v>287</v>
      </c>
      <c r="E64" t="s">
        <v>296</v>
      </c>
      <c r="F64" s="158" t="s">
        <v>246</v>
      </c>
      <c r="H64" s="32">
        <v>8400</v>
      </c>
      <c r="I64" s="33"/>
      <c r="J64" s="94">
        <f t="shared" si="102"/>
        <v>631.91869947566931</v>
      </c>
      <c r="K64" s="35"/>
      <c r="L64" s="127">
        <v>2.1687499999999997</v>
      </c>
      <c r="M64" s="127">
        <v>2.7024999999999997</v>
      </c>
      <c r="N64" s="127">
        <v>3.0644999999999998</v>
      </c>
      <c r="O64" s="127">
        <v>0.25124999999999997</v>
      </c>
      <c r="P64" s="48"/>
      <c r="Q64" s="23">
        <v>1.859</v>
      </c>
      <c r="R64" s="23">
        <v>0.433</v>
      </c>
      <c r="S64" s="23">
        <v>0.56000000000000005</v>
      </c>
      <c r="T64" s="23">
        <v>0.14599999999999999</v>
      </c>
      <c r="U64" s="48"/>
      <c r="V64" s="48">
        <f t="shared" si="103"/>
        <v>0.61287866686153014</v>
      </c>
      <c r="W64" s="33">
        <f t="shared" si="104"/>
        <v>0.14716728467862811</v>
      </c>
      <c r="X64" s="48">
        <f t="shared" si="105"/>
        <v>0.19033182314095093</v>
      </c>
      <c r="Y64" s="48">
        <f t="shared" si="106"/>
        <v>4.9622225318890774E-2</v>
      </c>
      <c r="Z64" s="48"/>
      <c r="AA64" s="48">
        <f t="shared" si="107"/>
        <v>0.27208392852481583</v>
      </c>
      <c r="AB64" s="48">
        <f t="shared" si="108"/>
        <v>3.5194934614366079E-3</v>
      </c>
      <c r="AC64" s="48">
        <f t="shared" si="109"/>
        <v>-895.36813560799214</v>
      </c>
      <c r="AD64" s="48"/>
      <c r="AE64" s="48">
        <f t="shared" si="110"/>
        <v>-3.2000890736762932</v>
      </c>
      <c r="AF64" s="48">
        <f t="shared" si="111"/>
        <v>-9.8695906953371595E-4</v>
      </c>
      <c r="AG64" s="48">
        <f t="shared" si="112"/>
        <v>9850.3881999417608</v>
      </c>
      <c r="AH64" s="33"/>
      <c r="AI64" s="48">
        <f t="shared" si="113"/>
        <v>-2.6662872048851236</v>
      </c>
      <c r="AJ64" s="48">
        <f t="shared" si="114"/>
        <v>3.8217588365322276E-2</v>
      </c>
      <c r="AK64" s="48">
        <f t="shared" si="115"/>
        <v>6195.9774913970987</v>
      </c>
      <c r="AL64" s="33"/>
      <c r="AM64" s="33"/>
      <c r="AN64" s="48">
        <f t="shared" si="116"/>
        <v>0.24159701591282132</v>
      </c>
      <c r="AO64" s="48">
        <f t="shared" si="117"/>
        <v>0.34056146961252864</v>
      </c>
      <c r="AP64" s="48">
        <f t="shared" si="118"/>
        <v>0.38617969421927628</v>
      </c>
      <c r="AQ64" s="48">
        <f t="shared" si="119"/>
        <v>3.1661820255373847E-2</v>
      </c>
      <c r="AR64" s="33"/>
      <c r="AS64" s="48"/>
      <c r="AT64" s="33">
        <f t="shared" si="120"/>
        <v>160336.29565448544</v>
      </c>
      <c r="AU64" s="33">
        <f t="shared" si="121"/>
        <v>177.15372959795491</v>
      </c>
      <c r="AV64" s="35">
        <f t="shared" si="122"/>
        <v>631.91869947566931</v>
      </c>
      <c r="AW64" s="33"/>
      <c r="AX64" s="35"/>
      <c r="AY64" s="33"/>
      <c r="AZ64" s="33"/>
      <c r="BA64" s="33"/>
      <c r="BB64" s="34"/>
      <c r="BC64" s="35"/>
      <c r="BD64" s="33"/>
      <c r="BE64" s="36"/>
      <c r="BG64" s="33"/>
      <c r="BH64" s="33"/>
      <c r="BI64" s="38"/>
    </row>
    <row r="65" spans="1:197" s="93" customFormat="1" x14ac:dyDescent="0.55000000000000004">
      <c r="A65" s="37"/>
      <c r="B65" s="47"/>
      <c r="C65" s="135" t="s">
        <v>58</v>
      </c>
      <c r="D65" s="156" t="s">
        <v>287</v>
      </c>
      <c r="E65" s="79" t="s">
        <v>297</v>
      </c>
      <c r="F65" s="158" t="s">
        <v>247</v>
      </c>
      <c r="G65" s="37"/>
      <c r="H65" s="32">
        <v>8400</v>
      </c>
      <c r="I65" s="33"/>
      <c r="J65" s="94">
        <f t="shared" si="102"/>
        <v>634.21268319307489</v>
      </c>
      <c r="K65" s="35"/>
      <c r="L65" s="127">
        <v>2.1687499999999997</v>
      </c>
      <c r="M65" s="127">
        <v>2.7024999999999997</v>
      </c>
      <c r="N65" s="127">
        <v>3.0644999999999998</v>
      </c>
      <c r="O65" s="127">
        <v>0.25124999999999997</v>
      </c>
      <c r="P65" s="48"/>
      <c r="Q65" s="23">
        <v>1.861</v>
      </c>
      <c r="R65" s="23">
        <v>0.441</v>
      </c>
      <c r="S65" s="23">
        <v>0.57699999999999996</v>
      </c>
      <c r="T65" s="23">
        <v>0.13600000000000001</v>
      </c>
      <c r="U65" s="48"/>
      <c r="V65" s="48">
        <f t="shared" si="103"/>
        <v>0.6100257842570721</v>
      </c>
      <c r="W65" s="33">
        <f t="shared" si="104"/>
        <v>0.14902827482030434</v>
      </c>
      <c r="X65" s="48">
        <f t="shared" si="105"/>
        <v>0.19498710787146395</v>
      </c>
      <c r="Y65" s="48">
        <f t="shared" si="106"/>
        <v>4.5958833051159623E-2</v>
      </c>
      <c r="Z65" s="48"/>
      <c r="AA65" s="48">
        <f t="shared" si="107"/>
        <v>0.27316046094817908</v>
      </c>
      <c r="AB65" s="48">
        <f t="shared" si="108"/>
        <v>3.5717736688321258E-3</v>
      </c>
      <c r="AC65" s="48">
        <f t="shared" si="109"/>
        <v>-912.63907505907628</v>
      </c>
      <c r="AD65" s="48"/>
      <c r="AE65" s="48">
        <f t="shared" si="110"/>
        <v>-3.136438014795945</v>
      </c>
      <c r="AF65" s="48">
        <f t="shared" si="111"/>
        <v>-1.3817804857961069E-3</v>
      </c>
      <c r="AG65" s="48">
        <f t="shared" si="112"/>
        <v>9796.4819067483077</v>
      </c>
      <c r="AH65" s="33"/>
      <c r="AI65" s="48">
        <f t="shared" si="113"/>
        <v>-2.7085309817782006</v>
      </c>
      <c r="AJ65" s="48">
        <f t="shared" si="114"/>
        <v>3.8260419173368199E-2</v>
      </c>
      <c r="AK65" s="48">
        <f t="shared" si="115"/>
        <v>6275.150724515227</v>
      </c>
      <c r="AL65" s="33"/>
      <c r="AM65" s="33"/>
      <c r="AN65" s="48">
        <f t="shared" si="116"/>
        <v>0.24159701591282132</v>
      </c>
      <c r="AO65" s="48">
        <f t="shared" si="117"/>
        <v>0.34056146961252864</v>
      </c>
      <c r="AP65" s="48">
        <f t="shared" si="118"/>
        <v>0.38617969421927628</v>
      </c>
      <c r="AQ65" s="48">
        <f t="shared" si="119"/>
        <v>3.1661820255373847E-2</v>
      </c>
      <c r="AR65" s="33"/>
      <c r="AS65" s="48"/>
      <c r="AT65" s="33">
        <f t="shared" si="120"/>
        <v>160295.90464710435</v>
      </c>
      <c r="AU65" s="33">
        <f t="shared" si="121"/>
        <v>176.66133687910934</v>
      </c>
      <c r="AV65" s="35">
        <f t="shared" si="122"/>
        <v>634.21268319307489</v>
      </c>
      <c r="AW65" s="33"/>
      <c r="AX65" s="35"/>
      <c r="AY65" s="33"/>
      <c r="AZ65" s="33"/>
      <c r="BA65" s="33"/>
      <c r="BB65" s="34"/>
      <c r="BC65" s="35"/>
      <c r="BD65" s="33"/>
      <c r="BE65" s="36"/>
      <c r="BF65" s="33"/>
      <c r="BG65" s="33"/>
      <c r="BH65" s="33"/>
      <c r="BI65" s="38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33"/>
      <c r="GA65" s="33"/>
      <c r="GB65" s="33"/>
      <c r="GC65" s="33"/>
      <c r="GD65" s="33"/>
      <c r="GE65" s="33"/>
      <c r="GF65" s="33"/>
      <c r="GG65" s="33"/>
      <c r="GH65" s="33"/>
      <c r="GI65" s="33"/>
      <c r="GJ65" s="33"/>
      <c r="GK65" s="33"/>
      <c r="GL65" s="33"/>
      <c r="GM65" s="33"/>
      <c r="GN65" s="33"/>
      <c r="GO65" s="33"/>
    </row>
    <row r="66" spans="1:197" x14ac:dyDescent="0.55000000000000004">
      <c r="C66" s="135" t="s">
        <v>58</v>
      </c>
      <c r="D66" s="158" t="s">
        <v>287</v>
      </c>
      <c r="E66" t="s">
        <v>298</v>
      </c>
      <c r="F66" s="158" t="s">
        <v>250</v>
      </c>
      <c r="H66" s="32">
        <v>8400</v>
      </c>
      <c r="I66" s="33"/>
      <c r="J66" s="94">
        <f t="shared" si="102"/>
        <v>638.15207137169398</v>
      </c>
      <c r="K66" s="35"/>
      <c r="L66" s="127">
        <v>2.1687499999999997</v>
      </c>
      <c r="M66" s="127">
        <v>2.7024999999999997</v>
      </c>
      <c r="N66" s="127">
        <v>3.0644999999999998</v>
      </c>
      <c r="O66" s="127">
        <v>0.25124999999999997</v>
      </c>
      <c r="P66" s="48"/>
      <c r="Q66" s="23">
        <v>1.861</v>
      </c>
      <c r="R66" s="23">
        <v>0.45900000000000002</v>
      </c>
      <c r="S66" s="23">
        <v>0.54400000000000004</v>
      </c>
      <c r="T66" s="23">
        <v>0.13600000000000001</v>
      </c>
      <c r="U66" s="48"/>
      <c r="V66" s="48">
        <f t="shared" si="103"/>
        <v>0.61313375246673929</v>
      </c>
      <c r="W66" s="33">
        <f t="shared" si="104"/>
        <v>0.15590132363280654</v>
      </c>
      <c r="X66" s="48">
        <f t="shared" si="105"/>
        <v>0.1847719391203633</v>
      </c>
      <c r="Y66" s="48">
        <f t="shared" si="106"/>
        <v>4.6192984780090825E-2</v>
      </c>
      <c r="Z66" s="48"/>
      <c r="AA66" s="48">
        <f t="shared" si="107"/>
        <v>0.25092034262959129</v>
      </c>
      <c r="AB66" s="48">
        <f t="shared" si="108"/>
        <v>3.7245926662879676E-3</v>
      </c>
      <c r="AC66" s="48">
        <f t="shared" si="109"/>
        <v>-875.14803101451207</v>
      </c>
      <c r="AD66" s="48"/>
      <c r="AE66" s="48">
        <f t="shared" si="110"/>
        <v>-3.0076634351379909</v>
      </c>
      <c r="AF66" s="48">
        <f t="shared" si="111"/>
        <v>-1.0804849563126363E-3</v>
      </c>
      <c r="AG66" s="48">
        <f t="shared" si="112"/>
        <v>9481.6904699225033</v>
      </c>
      <c r="AH66" s="33"/>
      <c r="AI66" s="48">
        <f t="shared" si="113"/>
        <v>-2.7043606173805359</v>
      </c>
      <c r="AJ66" s="48">
        <f t="shared" si="114"/>
        <v>3.7541403776491532E-2</v>
      </c>
      <c r="AK66" s="48">
        <f t="shared" si="115"/>
        <v>6349.6197632513549</v>
      </c>
      <c r="AL66" s="33"/>
      <c r="AM66" s="33"/>
      <c r="AN66" s="48">
        <f t="shared" si="116"/>
        <v>0.24159701591282132</v>
      </c>
      <c r="AO66" s="48">
        <f t="shared" si="117"/>
        <v>0.34056146961252864</v>
      </c>
      <c r="AP66" s="48">
        <f t="shared" si="118"/>
        <v>0.38617969421927628</v>
      </c>
      <c r="AQ66" s="48">
        <f t="shared" si="119"/>
        <v>3.1661820255373847E-2</v>
      </c>
      <c r="AR66" s="33"/>
      <c r="AS66" s="48"/>
      <c r="AT66" s="33">
        <f t="shared" si="120"/>
        <v>159944.86936910302</v>
      </c>
      <c r="AU66" s="33">
        <f t="shared" si="121"/>
        <v>175.51246111879635</v>
      </c>
      <c r="AV66" s="35">
        <f t="shared" si="122"/>
        <v>638.15207137169398</v>
      </c>
      <c r="AW66" s="33"/>
      <c r="AX66" s="35"/>
      <c r="AY66" s="33"/>
      <c r="AZ66" s="33"/>
      <c r="BA66" s="33"/>
      <c r="BB66" s="34"/>
      <c r="BC66" s="35"/>
      <c r="BD66" s="33"/>
      <c r="BE66" s="36"/>
      <c r="BG66" s="33"/>
      <c r="BH66" s="33"/>
      <c r="BI66" s="38"/>
    </row>
    <row r="67" spans="1:197" x14ac:dyDescent="0.55000000000000004">
      <c r="H67" s="32"/>
      <c r="I67" s="37" t="s">
        <v>59</v>
      </c>
      <c r="J67" s="153">
        <f>AVERAGE(J56:J66)</f>
        <v>623.25584732730306</v>
      </c>
      <c r="K67" s="35"/>
      <c r="L67" s="23"/>
      <c r="M67" s="23"/>
      <c r="N67" s="23"/>
      <c r="O67" s="23"/>
      <c r="P67" s="48"/>
      <c r="Q67" s="23"/>
      <c r="R67" s="23"/>
      <c r="S67" s="23"/>
      <c r="T67" s="23"/>
      <c r="U67" s="48"/>
      <c r="V67" s="48"/>
      <c r="W67" s="33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33"/>
      <c r="AI67" s="48"/>
      <c r="AJ67" s="48"/>
      <c r="AK67" s="48"/>
      <c r="AL67" s="33"/>
      <c r="AM67" s="33"/>
      <c r="AN67" s="48"/>
      <c r="AO67" s="48"/>
      <c r="AP67" s="48"/>
      <c r="AQ67" s="48"/>
      <c r="AR67" s="33"/>
      <c r="AS67" s="48"/>
      <c r="AT67" s="33"/>
      <c r="AU67" s="33"/>
      <c r="AV67" s="35"/>
      <c r="AW67" s="33"/>
      <c r="AX67" s="35"/>
      <c r="AY67" s="33"/>
      <c r="AZ67" s="33"/>
      <c r="BA67" s="33"/>
      <c r="BB67" s="34"/>
      <c r="BC67" s="35"/>
      <c r="BD67" s="33"/>
      <c r="BE67" s="36"/>
      <c r="BG67" s="33"/>
      <c r="BH67" s="33"/>
      <c r="BI67" s="38"/>
    </row>
    <row r="68" spans="1:197" x14ac:dyDescent="0.55000000000000004">
      <c r="H68" s="23"/>
      <c r="J68" s="19"/>
      <c r="L68" s="23"/>
      <c r="M68" s="23"/>
      <c r="N68" s="23"/>
      <c r="O68" s="23"/>
      <c r="Q68" s="23"/>
      <c r="R68" s="23"/>
      <c r="S68" s="23"/>
      <c r="T68" s="23"/>
    </row>
    <row r="69" spans="1:197" x14ac:dyDescent="0.55000000000000004">
      <c r="A69" s="37" t="s">
        <v>150</v>
      </c>
      <c r="B69" s="47" t="s">
        <v>84</v>
      </c>
      <c r="C69" s="135" t="s">
        <v>300</v>
      </c>
      <c r="D69" s="176" t="s">
        <v>248</v>
      </c>
      <c r="E69" s="37" t="s">
        <v>147</v>
      </c>
      <c r="F69" s="158" t="s">
        <v>70</v>
      </c>
      <c r="H69" s="32">
        <v>11200</v>
      </c>
      <c r="J69" s="152">
        <f t="shared" ref="J69:J70" si="123">AV69</f>
        <v>673.10073133680737</v>
      </c>
      <c r="K69" s="35"/>
      <c r="L69" s="51">
        <v>2.1726666666666663</v>
      </c>
      <c r="M69" s="51">
        <v>2.7113333333333336</v>
      </c>
      <c r="N69" s="51">
        <v>3.0143333333333331</v>
      </c>
      <c r="O69" s="51">
        <v>0.28033333333333332</v>
      </c>
      <c r="P69" s="33"/>
      <c r="Q69" s="23">
        <v>1.6859999999999999</v>
      </c>
      <c r="R69" s="23">
        <v>0.50600000000000001</v>
      </c>
      <c r="S69" s="23">
        <v>0.75700000000000001</v>
      </c>
      <c r="T69" s="23">
        <v>4.5999999999999999E-2</v>
      </c>
      <c r="U69" s="33"/>
      <c r="V69" s="48">
        <f t="shared" ref="V69:V70" si="124">Q69*0.97/(Q69*0.97+R69+S69+T69)</f>
        <v>0.55543027149659352</v>
      </c>
      <c r="W69" s="33">
        <f t="shared" ref="W69:W70" si="125">R69/(Q69*0.97+R69+S69+T69)</f>
        <v>0.17185048328703106</v>
      </c>
      <c r="X69" s="48">
        <f t="shared" ref="X69:X70" si="126">S69/(Q69*0.97+R69+S69+T69)</f>
        <v>0.25709647400846347</v>
      </c>
      <c r="Y69" s="48">
        <f t="shared" ref="Y69:Y70" si="127">T69/(Q69*0.97+R69+S69+T69)</f>
        <v>1.5622771207911914E-2</v>
      </c>
      <c r="Z69" s="48"/>
      <c r="AA69" s="48">
        <f t="shared" ref="AA69:AA70" si="128">5.993*W69*W69-9.67*X69*X69-11.006*V69*W69+0.674*V69*X69-9.5725*W69*X69-22.765*W69*Y69-4.6665*X69*Y69+11.006*V69*V69*W69-0.674*V69*V69*X69-11.986*W69*W69*V69+37.966*W69*W69*X69+46.02*W69*W69*Y69+19.34*X69*X69*V69+25.746*X69*X69*W69+46.02*Y69*Y69*W69+19.145*V69*W69*X69+45.53*V69*W69*Y69+9.333*V69*X69*Y69+77.876*W69*X69*Y69</f>
        <v>0.34036418917610178</v>
      </c>
      <c r="AB69" s="48">
        <f t="shared" ref="AB69:AB70" si="129">-0.034*W69*W69+0.135*X69*X69+0.024*Y69*Y69+0.1*V69*W69+0.08*V69*X69+0.048*V69*Y69-0.0515*W69*X69+0.07*W69*Y69+0.1765*X69*Y69-0.1*V69*V69*W69-0.08*V69*V69*X69-0.048*V69*V69*Y69+0.068*W69*W69*V69-0.136*W69*W69*X69-0.076*W69*W69*Y69-0.27*X69*X69*V69-0.28*X69*X69*W69-0.13*X69*X69*Y69-0.048*Y69*Y69*V69-0.076*Y69*Y69*W69-0.13*Y69*Y69*X69+0.103*V69*W69*X69-0.14*V69*W69*Y69-0.353*V69*X69*Y69-0.414*W69*X69*Y69</f>
        <v>4.1020441456512203E-3</v>
      </c>
      <c r="AC69" s="48">
        <f t="shared" ref="AC69:AC70" si="130">-5672*W69*W69+19932*X69*X69+1617*Y69*Y69+23244*V69*W69-2608*V69*X69+3234*V69*Y69+31326.5*W69*X69+45841*W69*Y69+12356*X69*Y69-23244*V69*V69*W69+2608*V69*V69*X69-3234*V69*V69*Y69+11344*W69*W69*V69-132228*W69*W69*X69-82498*W69*W69*Y69-39864*X69*X69*V69-51518*X69*X69*W69-2850*X69*X69*Y69-3234*Y69*Y69*V69-82498*Y69*Y69*W69-2850*Y69*Y69*X69-62653*V69*W69*X69-91682*V69*W69*Y69-24712*V69*X69*Y69-177221*W69*X69*Y69</f>
        <v>-1222.9947867304093</v>
      </c>
      <c r="AD69" s="48"/>
      <c r="AE69" s="48">
        <f t="shared" ref="AE69:AE70" si="131">-5.503*V69*V69-12.873*X69*X69-23.01*Y69*Y69+11.986*V69*W69-9.5725*V69*X69-22.765*V69*Y69-37.966*W69*X69-46.02*W69*Y69-38.938*X69*Y69+11.006*V69*V69*W69-0.674*V69*V69*X69-11.986*W69*W69*V69+37.966*W69*W69*X69+46.02*W69*W69*Y69+19.34*X69*X69*V69+25.746*X69*X69*W69+46.02*Y69*Y69*W69+19.145*V69*W69*X69+45.53*V69*W69*Y69+9.333*V69*X69*Y69+77.876*W69*X69*Y69</f>
        <v>-2.6723426433541748</v>
      </c>
      <c r="AF69" s="48">
        <f t="shared" ref="AF69:AF70" si="132">0.05*V69*V69+0.14*X69*X69+0.038*Y69*Y69-0.068*V69*W69-0.0515*V69*X69+0.07*V69*Y69+0.136*W69*X69+0.076*W69*Y69+0.207*X69*Y69-0.1*V69*V69*W69-0.08*V69*V69*X69-0.048*V69*V69*Y69+0.068*W69*W69*V69-0.136*W69*W69*X69-0.076*W69*W69*Y69-0.27*X69*X69*V69-0.28*X69*X69*W69-0.13*X69*X69*Y69-0.048*Y69*Y69*V69-0.076*Y69*Y69*W69-0.13*Y69*Y69*X69+0.103*V69*W69*X69-0.14*V69*W69*Y69-0.353*V69*X69*Y69-0.414*W69*X69*Y69</f>
        <v>-5.3349806178403982E-3</v>
      </c>
      <c r="AG69" s="48">
        <f t="shared" ref="AG69:AG70" si="133">11622*V69*V69+25759*X69*X69+41249*Y69*Y69-11344*V69*W69+31326.5*V69*X69+45841*V69*Y69+132228*W69*X69+82498*W69*Y69+88610.5*X69*Y69-23244*V69*V69*W69+2608*V69*V69*X69-3234*V69*V69*Y69+11344*W69*W69*V69-132228*W69*W69*X69-82498*W69*W69*Y69-39864*X69*X69*V69-51518*X69*X69*W69-2850*X69*X69*Y69-3234*Y69*Y69*V69-82498*Y69*Y69*W69-2850*Y69*Y69*X69-62653*V69*W69*X69-91682*V69*W69*Y69-24712*V69*X69*Y69-177221*W69*X69*Y69</f>
        <v>9701.5819633535393</v>
      </c>
      <c r="AH69" s="33"/>
      <c r="AI69" s="48">
        <f t="shared" ref="AI69:AI70" si="134">0.337*V69*V69-18.983*W69*W69-9.5725*V69*W69-19.34*V69*X69-4.6665*V69*Y69-25.746*W69*X69-38.938*W69*Y69+11.006*V69*V69*W69-0.674*V69*V69*X69-11.986*W69*W69*V69+37.966*W69*W69*X69+46.02*W69*W69*Y69+19.34*X69*X69*V69+25.746*X69*X69*W69+46.02*Y69*Y69*W69+19.145*V69*W69*X69+45.53*V69*W69*Y69+9.333*V69*X69*Y69+77.876*W69*X69*Y69</f>
        <v>-3.1550070382350253</v>
      </c>
      <c r="AJ69" s="48">
        <f t="shared" ref="AJ69:AJ70" si="135">0.04*V69*V69+0.068*W69*W69+0.065*Y69*Y69-0.0515*V69*W69+0.27*V69*X69+0.1765*V69*Y69+0.28*W69*X69+0.207*W69*Y69+0.13*X69*Y69-0.1*V69*V69*W69-0.08*V69*V69*X69-0.048*V69*V69*Y69+0.068*W69*W69*V69-0.136*W69*W69*X69-0.076*W69*W69*Y69-0.27*X69*X69*V69-0.28*X69*X69*W69-0.13*X69*X69*Y69-0.048*Y69*Y69*V69-0.076*Y69*Y69*W69-0.13*Y69*Y69*X69+0.103*V69*W69*X69-0.14*V69*W69*Y69-0.353*V69*X69*Y69-0.414*W69*X69*Y69</f>
        <v>3.9154666209094018E-2</v>
      </c>
      <c r="AK69" s="48">
        <f t="shared" ref="AK69:AK70" si="136">-1304*V69*V69+66114*W69*W69+1425*Y69*Y69+31326.5*V69*W69+39864*V69*X69+12356*V69*Y69+51518*W69*X69+88610.5*W69*Y69+2850*X69*Y69-23244*V69*V69*W69+2608*V69*V69*X69-3234*V69*V69*Y69+11344*W69*W69*V69-132228*W69*W69*X69-82498*W69*W69*Y69-39864*X69*X69*V69-51518*X69*X69*W69-2850*X69*X69*Y69-3234*Y69*Y69*V69-82498*Y69*Y69*W69-2850*Y69*Y69*X69-62653*V69*W69*X69-91682*V69*W69*Y69-24712*V69*X69*Y69-177221*W69*X69*Y69</f>
        <v>7061.5725320471074</v>
      </c>
      <c r="AL69" s="33"/>
      <c r="AM69" s="33"/>
      <c r="AN69" s="48">
        <f>L69*0.884/(L69*0.884+M69+N69+O69)</f>
        <v>0.24230165359737241</v>
      </c>
      <c r="AO69" s="48">
        <f>M69/(L69*0.884+M69+N69+O69)</f>
        <v>0.34205341045837351</v>
      </c>
      <c r="AP69" s="48">
        <f>N69/(L69*0.884+M69+N69+O69)</f>
        <v>0.38027895141075374</v>
      </c>
      <c r="AQ69" s="48">
        <f>O69/(L69*0.884+M69+N69+O69)</f>
        <v>3.5365984533500379E-2</v>
      </c>
      <c r="AR69" s="33"/>
      <c r="AS69" s="48"/>
      <c r="AT69" s="33">
        <f>40198+(0.295-(AB69-AF69))*H69-(AC69-AG69)+22998*(AO69-AN69)+245559*AP69+310990*AQ69</f>
        <v>160994.35953656872</v>
      </c>
      <c r="AU69" s="33">
        <f>7.802+3*8.3144*LN((V69/W69)/(AN69/AO69))+(AA69-AE69)+17.396*(AO69-AN69)+280.396*AP69+370.39*AQ69</f>
        <v>170.13921807925618</v>
      </c>
      <c r="AV69" s="35">
        <f t="shared" ref="AV69:AV70" si="137">AT69/AU69-273.15</f>
        <v>673.10073133680737</v>
      </c>
      <c r="AW69" s="33"/>
      <c r="AX69" s="35"/>
      <c r="AY69" s="33"/>
      <c r="AZ69" s="33"/>
      <c r="BA69" s="33"/>
      <c r="BB69" s="49"/>
      <c r="BD69" s="33"/>
      <c r="BE69" s="36"/>
      <c r="BF69" s="36"/>
      <c r="BG69" s="33"/>
      <c r="BH69" s="33"/>
      <c r="BI69" s="38"/>
    </row>
    <row r="70" spans="1:197" s="88" customFormat="1" x14ac:dyDescent="0.55000000000000004">
      <c r="B70" s="156"/>
      <c r="C70" s="135" t="s">
        <v>300</v>
      </c>
      <c r="D70" s="176" t="s">
        <v>248</v>
      </c>
      <c r="E70" s="88" t="s">
        <v>148</v>
      </c>
      <c r="F70" s="158" t="s">
        <v>299</v>
      </c>
      <c r="H70" s="168">
        <v>11093</v>
      </c>
      <c r="J70" s="94">
        <f t="shared" si="123"/>
        <v>694.46019960852755</v>
      </c>
      <c r="K70" s="104"/>
      <c r="L70" s="174">
        <v>2.1726666666666663</v>
      </c>
      <c r="M70" s="180">
        <v>2.7113333333333336</v>
      </c>
      <c r="N70" s="180">
        <v>3.0143333333333331</v>
      </c>
      <c r="O70" s="180">
        <v>0.28033333333333332</v>
      </c>
      <c r="P70" s="103"/>
      <c r="Q70" s="169">
        <v>1.728</v>
      </c>
      <c r="R70" s="169">
        <v>0.625</v>
      </c>
      <c r="S70" s="169">
        <v>0.625</v>
      </c>
      <c r="T70" s="169">
        <v>0.06</v>
      </c>
      <c r="U70" s="103"/>
      <c r="V70" s="105">
        <f t="shared" si="124"/>
        <v>0.56130950786294098</v>
      </c>
      <c r="W70" s="103">
        <f t="shared" si="125"/>
        <v>0.20929889892035256</v>
      </c>
      <c r="X70" s="105">
        <f t="shared" si="126"/>
        <v>0.20929889892035256</v>
      </c>
      <c r="Y70" s="105">
        <f t="shared" si="127"/>
        <v>2.0092694296353845E-2</v>
      </c>
      <c r="Z70" s="105"/>
      <c r="AA70" s="105">
        <f t="shared" si="128"/>
        <v>0.24991013107370813</v>
      </c>
      <c r="AB70" s="105">
        <f t="shared" si="129"/>
        <v>4.7429050683318501E-3</v>
      </c>
      <c r="AC70" s="105">
        <f t="shared" si="130"/>
        <v>-1118.4217402682539</v>
      </c>
      <c r="AD70" s="105"/>
      <c r="AE70" s="105">
        <f t="shared" si="131"/>
        <v>-2.1411567539404284</v>
      </c>
      <c r="AF70" s="105">
        <f t="shared" si="132"/>
        <v>-4.3600398132153289E-3</v>
      </c>
      <c r="AG70" s="105">
        <f t="shared" si="133"/>
        <v>8361.7150677661193</v>
      </c>
      <c r="AH70" s="103"/>
      <c r="AI70" s="105">
        <f t="shared" si="134"/>
        <v>-3.3067870331773856</v>
      </c>
      <c r="AJ70" s="105">
        <f t="shared" si="135"/>
        <v>3.6791166047479652E-2</v>
      </c>
      <c r="AK70" s="105">
        <f t="shared" si="136"/>
        <v>7808.660980369903</v>
      </c>
      <c r="AL70" s="103"/>
      <c r="AM70" s="103"/>
      <c r="AN70" s="105">
        <f>L70*0.884/(L70*0.884+M70+N70+O70)</f>
        <v>0.24230165359737241</v>
      </c>
      <c r="AO70" s="105">
        <f>M70/(L70*0.884+M70+N70+O70)</f>
        <v>0.34205341045837351</v>
      </c>
      <c r="AP70" s="105">
        <f>N70/(L70*0.884+M70+N70+O70)</f>
        <v>0.38027895141075374</v>
      </c>
      <c r="AQ70" s="105">
        <f>O70/(L70*0.884+M70+N70+O70)</f>
        <v>3.5365984533500379E-2</v>
      </c>
      <c r="AR70" s="103"/>
      <c r="AS70" s="105"/>
      <c r="AT70" s="103">
        <f>40198+(0.295-(AB70-AF70))*H70-(AC70-AG70)+22998*(AO70-AN70)+245559*AP70+310990*AQ70</f>
        <v>159523.07030429924</v>
      </c>
      <c r="AU70" s="103">
        <f>7.802+3*8.3144*LN((V70/W70)/(AN70/AO70))+(AA70-AE70)+17.396*(AO70-AN70)+280.396*AP70+370.39*AQ70</f>
        <v>164.86294829140758</v>
      </c>
      <c r="AV70" s="104">
        <f t="shared" si="137"/>
        <v>694.46019960852755</v>
      </c>
      <c r="AW70" s="103"/>
      <c r="AX70" s="104"/>
      <c r="AY70" s="103"/>
      <c r="AZ70" s="103"/>
      <c r="BA70" s="103"/>
      <c r="BB70" s="106"/>
      <c r="BD70" s="103"/>
      <c r="BE70" s="107"/>
      <c r="BF70" s="107"/>
      <c r="BG70" s="103"/>
      <c r="BH70" s="103"/>
      <c r="BI70" s="108"/>
    </row>
    <row r="71" spans="1:197" s="46" customFormat="1" x14ac:dyDescent="0.55000000000000004">
      <c r="B71" s="175"/>
      <c r="C71" s="75"/>
      <c r="D71" s="144"/>
      <c r="E71" s="41"/>
      <c r="F71" s="145"/>
      <c r="H71" s="40"/>
      <c r="I71" s="145"/>
      <c r="J71" s="95"/>
      <c r="K71" s="43"/>
      <c r="L71" s="76"/>
      <c r="M71" s="40"/>
      <c r="N71" s="40"/>
      <c r="O71" s="40"/>
      <c r="P71" s="41"/>
      <c r="Q71" s="96"/>
      <c r="R71" s="96"/>
      <c r="S71" s="96"/>
      <c r="T71" s="96"/>
      <c r="U71" s="41"/>
      <c r="V71" s="52"/>
      <c r="W71" s="41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41"/>
      <c r="AI71" s="52"/>
      <c r="AJ71" s="52"/>
      <c r="AK71" s="52"/>
      <c r="AL71" s="41"/>
      <c r="AM71" s="41"/>
      <c r="AN71" s="52"/>
      <c r="AO71" s="52"/>
      <c r="AP71" s="52"/>
      <c r="AQ71" s="52"/>
      <c r="AR71" s="41"/>
      <c r="AS71" s="52"/>
      <c r="AT71" s="41"/>
      <c r="AU71" s="41"/>
      <c r="AV71" s="43"/>
      <c r="AW71" s="41"/>
      <c r="AX71" s="43"/>
      <c r="AY71" s="41"/>
      <c r="AZ71" s="41"/>
      <c r="BA71" s="41"/>
      <c r="BB71" s="77"/>
      <c r="BD71" s="41"/>
      <c r="BE71" s="44"/>
      <c r="BF71" s="44"/>
      <c r="BG71" s="41"/>
      <c r="BH71" s="41"/>
      <c r="BI71" s="45"/>
    </row>
    <row r="72" spans="1:197" x14ac:dyDescent="0.55000000000000004">
      <c r="H72" s="23"/>
      <c r="J72" s="19"/>
      <c r="L72" s="23"/>
      <c r="M72" s="23"/>
      <c r="N72" s="23"/>
      <c r="O72" s="23"/>
      <c r="Q72" s="23"/>
      <c r="R72" s="23"/>
      <c r="S72" s="23"/>
      <c r="T72" s="23"/>
    </row>
    <row r="73" spans="1:197" x14ac:dyDescent="0.55000000000000004">
      <c r="A73" s="37" t="s">
        <v>202</v>
      </c>
      <c r="B73" s="47" t="s">
        <v>204</v>
      </c>
      <c r="C73" s="135" t="s">
        <v>188</v>
      </c>
      <c r="D73" s="158" t="s">
        <v>277</v>
      </c>
      <c r="E73" s="147" t="s">
        <v>301</v>
      </c>
      <c r="F73" s="158" t="s">
        <v>362</v>
      </c>
      <c r="H73" s="32">
        <v>8370</v>
      </c>
      <c r="J73" s="94">
        <f t="shared" ref="J73:J83" si="138">AV73</f>
        <v>647.495742349853</v>
      </c>
      <c r="K73" s="35"/>
      <c r="L73" s="23">
        <v>2.5619999999999998</v>
      </c>
      <c r="M73" s="23">
        <v>2.4900000000000002</v>
      </c>
      <c r="N73" s="23">
        <v>2.996</v>
      </c>
      <c r="O73" s="23">
        <v>0.253</v>
      </c>
      <c r="P73" s="33"/>
      <c r="Q73" s="23">
        <v>2.0529999999999999</v>
      </c>
      <c r="R73" s="23">
        <v>0.44600000000000001</v>
      </c>
      <c r="S73" s="23">
        <v>0.35</v>
      </c>
      <c r="T73" s="23">
        <v>0.23</v>
      </c>
      <c r="U73" s="33"/>
      <c r="V73" s="48">
        <f t="shared" ref="V73:V83" si="139">Q73*0.97/(Q73*0.97+R73+S73+T73)</f>
        <v>0.65997328834994251</v>
      </c>
      <c r="W73" s="33">
        <f t="shared" ref="W73:W83" si="140">R73/(Q73*0.97+R73+S73+T73)</f>
        <v>0.14780888245216925</v>
      </c>
      <c r="X73" s="48">
        <f t="shared" ref="X73:X83" si="141">S73/(Q73*0.97+R73+S73+T73)</f>
        <v>0.11599351761941532</v>
      </c>
      <c r="Y73" s="48">
        <f t="shared" ref="Y73:Y83" si="142">T73/(Q73*0.97+R73+S73+T73)</f>
        <v>7.6224311578472939E-2</v>
      </c>
      <c r="Z73" s="48"/>
      <c r="AA73" s="48">
        <f t="shared" ref="AA73:AA83" si="143">5.993*W73*W73-9.67*X73*X73-11.006*V73*W73+0.674*V73*X73-9.5725*W73*X73-22.765*W73*Y73-4.6665*X73*Y73+11.006*V73*V73*W73-0.674*V73*V73*X73-11.986*W73*W73*V73+37.966*W73*W73*X73+46.02*W73*W73*Y73+19.34*X73*X73*V73+25.746*X73*X73*W73+46.02*Y73*Y73*W73+19.145*V73*W73*X73+45.53*V73*W73*Y73+9.333*V73*X73*Y73+77.876*W73*X73*Y73</f>
        <v>0.16533155031825067</v>
      </c>
      <c r="AB73" s="48">
        <f t="shared" ref="AB73:AB83" si="144">-0.034*W73*W73+0.135*X73*X73+0.024*Y73*Y73+0.1*V73*W73+0.08*V73*X73+0.048*V73*Y73-0.0515*W73*X73+0.07*W73*Y73+0.1765*X73*Y73-0.1*V73*V73*W73-0.08*V73*V73*X73-0.048*V73*V73*Y73+0.068*W73*W73*V73-0.136*W73*W73*X73-0.076*W73*W73*Y73-0.27*X73*X73*V73-0.28*X73*X73*W73-0.13*X73*X73*Y73-0.048*Y73*Y73*V73-0.076*Y73*Y73*W73-0.13*Y73*Y73*X73+0.103*V73*W73*X73-0.14*V73*W73*Y73-0.353*V73*X73*Y73-0.414*W73*X73*Y73</f>
        <v>3.5079186585518117E-3</v>
      </c>
      <c r="AC73" s="48">
        <f t="shared" ref="AC73:AC83" si="145">-5672*W73*W73+19932*X73*X73+1617*Y73*Y73+23244*V73*W73-2608*V73*X73+3234*V73*Y73+31326.5*W73*X73+45841*W73*Y73+12356*X73*Y73-23244*V73*V73*W73+2608*V73*V73*X73-3234*V73*V73*Y73+11344*W73*W73*V73-132228*W73*W73*X73-82498*W73*W73*Y73-39864*X73*X73*V73-51518*X73*X73*W73-2850*X73*X73*Y73-3234*Y73*Y73*V73-82498*Y73*Y73*W73-2850*Y73*Y73*X73-62653*V73*W73*X73-91682*V73*W73*Y73-24712*V73*X73*Y73-177221*W73*X73*Y73</f>
        <v>-544.99041386449755</v>
      </c>
      <c r="AD73" s="48"/>
      <c r="AE73" s="48">
        <f t="shared" ref="AE73:AE83" si="146">-5.503*V73*V73-12.873*X73*X73-23.01*Y73*Y73+11.986*V73*W73-9.5725*V73*X73-22.765*V73*Y73-37.966*W73*X73-46.02*W73*Y73-38.938*X73*Y73+11.006*V73*V73*W73-0.674*V73*V73*X73-11.986*W73*W73*V73+37.966*W73*W73*X73+46.02*W73*W73*Y73+19.34*X73*X73*V73+25.746*X73*X73*W73+46.02*Y73*Y73*W73+19.145*V73*W73*X73+45.53*V73*W73*Y73+9.333*V73*X73*Y73+77.876*W73*X73*Y73</f>
        <v>-3.2778651973439064</v>
      </c>
      <c r="AF73" s="48">
        <f t="shared" ref="AF73:AF83" si="147">0.05*V73*V73+0.14*X73*X73+0.038*Y73*Y73-0.068*V73*W73-0.0515*V73*X73+0.07*V73*Y73+0.136*W73*X73+0.076*W73*Y73+0.207*X73*Y73-0.1*V73*V73*W73-0.08*V73*V73*X73-0.048*V73*V73*Y73+0.068*W73*W73*V73-0.136*W73*W73*X73-0.076*W73*W73*Y73-0.27*X73*X73*V73-0.28*X73*X73*W73-0.13*X73*X73*Y73-0.048*Y73*Y73*V73-0.076*Y73*Y73*W73-0.13*Y73*Y73*X73+0.103*V73*W73*X73-0.14*V73*W73*Y73-0.353*V73*X73*Y73-0.414*W73*X73*Y73</f>
        <v>4.3811906130880587E-3</v>
      </c>
      <c r="AG73" s="48">
        <f t="shared" ref="AG73:AG83" si="148">11622*V73*V73+25759*X73*X73+41249*Y73*Y73-11344*V73*W73+31326.5*V73*X73+45841*V73*Y73+132228*W73*X73+82498*W73*Y73+88610.5*X73*Y73-23244*V73*V73*W73+2608*V73*V73*X73-3234*V73*V73*Y73+11344*W73*W73*V73-132228*W73*W73*X73-82498*W73*W73*Y73-39864*X73*X73*V73-51518*X73*X73*W73-2850*X73*X73*Y73-3234*Y73*Y73*V73-82498*Y73*Y73*W73-2850*Y73*Y73*X73-62653*V73*W73*X73-91682*V73*W73*Y73-24712*V73*X73*Y73-177221*W73*X73*Y73</f>
        <v>9133.9859260106678</v>
      </c>
      <c r="AH73" s="33"/>
      <c r="AI73" s="48">
        <f t="shared" ref="AI73:AI83" si="149">0.337*V73*V73-18.983*W73*W73-9.5725*V73*W73-19.34*V73*X73-4.6665*V73*Y73-25.746*W73*X73-38.938*W73*Y73+11.006*V73*V73*W73-0.674*V73*V73*X73-11.986*W73*W73*V73+37.966*W73*W73*X73+46.02*W73*W73*Y73+19.34*X73*X73*V73+25.746*X73*X73*W73+46.02*Y73*Y73*W73+19.145*V73*W73*X73+45.53*V73*W73*Y73+9.333*V73*X73*Y73+77.876*W73*X73*Y73</f>
        <v>-2.1487286732592756</v>
      </c>
      <c r="AJ73" s="48">
        <f t="shared" ref="AJ73:AJ83" si="150">0.04*V73*V73+0.068*W73*W73+0.065*Y73*Y73-0.0515*V73*W73+0.27*V73*X73+0.1765*V73*Y73+0.28*W73*X73+0.207*W73*Y73+0.13*X73*Y73-0.1*V73*V73*W73-0.08*V73*V73*X73-0.048*V73*V73*Y73+0.068*W73*W73*V73-0.136*W73*W73*X73-0.076*W73*W73*Y73-0.27*X73*X73*V73-0.28*X73*X73*W73-0.13*X73*X73*Y73-0.048*Y73*Y73*V73-0.076*Y73*Y73*W73-0.13*Y73*Y73*X73+0.103*V73*W73*X73-0.14*V73*W73*Y73-0.353*V73*X73*Y73-0.414*W73*X73*Y73</f>
        <v>3.4627239987399298E-2</v>
      </c>
      <c r="AK73" s="48">
        <f t="shared" ref="AK73:AK83" si="151">-1304*V73*V73+66114*W73*W73+1425*Y73*Y73+31326.5*V73*W73+39864*V73*X73+12356*V73*Y73+51518*W73*X73+88610.5*W73*Y73+2850*X73*Y73-23244*V73*V73*W73+2608*V73*V73*X73-3234*V73*V73*Y73+11344*W73*W73*V73-132228*W73*W73*X73-82498*W73*W73*Y73-39864*X73*X73*V73-51518*X73*X73*W73-2850*X73*X73*Y73-3234*Y73*Y73*V73-82498*Y73*Y73*W73-2850*Y73*Y73*X73-62653*V73*W73*X73-91682*V73*W73*Y73-24712*V73*X73*Y73-177221*W73*X73*Y73</f>
        <v>5428.7676749626762</v>
      </c>
      <c r="AL73" s="33"/>
      <c r="AM73" s="33"/>
      <c r="AN73" s="48">
        <f t="shared" ref="AN73:AN83" si="152">L73*0.884/(L73*0.884+M73+N73+O73)</f>
        <v>0.28296630803737416</v>
      </c>
      <c r="AO73" s="48">
        <f t="shared" ref="AO73:AO83" si="153">M73/(L73*0.884+M73+N73+O73)</f>
        <v>0.31110191548822758</v>
      </c>
      <c r="AP73" s="48">
        <f t="shared" ref="AP73:AP83" si="154">N73/(L73*0.884+M73+N73+O73)</f>
        <v>0.37432182281234128</v>
      </c>
      <c r="AQ73" s="48">
        <f t="shared" ref="AQ73:AQ83" si="155">O73/(L73*0.884+M73+N73+O73)</f>
        <v>3.1609953662056857E-2</v>
      </c>
      <c r="AR73" s="33"/>
      <c r="AS73" s="48"/>
      <c r="AT73" s="33">
        <f t="shared" ref="AT73:AT83" si="156">40198+(0.295-(AB73-AF73))*H73-(AC73-AG73)+22998*(AO73-AN73)+245559*AP73+310990*AQ73</f>
        <v>154748.97030362813</v>
      </c>
      <c r="AU73" s="33">
        <f t="shared" ref="AU73:AU83" si="157">7.802+3*8.3144*LN((V73/W73)/(AN73/AO73))+(AA73-AE73)+17.396*(AO73-AN73)+280.396*AP73+370.39*AQ73</f>
        <v>168.08742297406101</v>
      </c>
      <c r="AV73" s="35">
        <f t="shared" ref="AV73:AV83" si="158">AT73/AU73-273.15</f>
        <v>647.495742349853</v>
      </c>
      <c r="AW73" s="33"/>
      <c r="AX73" s="35"/>
      <c r="AY73" s="33"/>
      <c r="AZ73" s="33"/>
      <c r="BA73" s="33"/>
      <c r="BB73" s="49"/>
      <c r="BD73" s="33"/>
      <c r="BE73" s="36"/>
      <c r="BF73" s="36"/>
      <c r="BG73" s="33"/>
      <c r="BH73" s="33"/>
      <c r="BI73" s="38"/>
    </row>
    <row r="74" spans="1:197" x14ac:dyDescent="0.55000000000000004">
      <c r="B74" s="37"/>
      <c r="C74" s="135" t="s">
        <v>188</v>
      </c>
      <c r="D74" s="158" t="s">
        <v>277</v>
      </c>
      <c r="E74" s="9" t="s">
        <v>302</v>
      </c>
      <c r="F74" s="158" t="s">
        <v>239</v>
      </c>
      <c r="H74" s="32">
        <v>8370</v>
      </c>
      <c r="J74" s="94">
        <f t="shared" si="138"/>
        <v>653.28202875252339</v>
      </c>
      <c r="K74" s="35"/>
      <c r="L74" s="23">
        <v>2.5619999999999998</v>
      </c>
      <c r="M74" s="23">
        <v>2.4900000000000002</v>
      </c>
      <c r="N74" s="23">
        <v>2.996</v>
      </c>
      <c r="O74" s="23">
        <v>0.253</v>
      </c>
      <c r="P74" s="33"/>
      <c r="Q74" s="23">
        <v>2.0259999999999998</v>
      </c>
      <c r="R74" s="23">
        <v>0.46</v>
      </c>
      <c r="S74" s="23">
        <v>0.35899999999999999</v>
      </c>
      <c r="T74" s="23">
        <v>0.215</v>
      </c>
      <c r="U74" s="33"/>
      <c r="V74" s="48">
        <f t="shared" si="139"/>
        <v>0.65524369669447391</v>
      </c>
      <c r="W74" s="33">
        <f t="shared" si="140"/>
        <v>0.15337321036802903</v>
      </c>
      <c r="X74" s="48">
        <f t="shared" si="141"/>
        <v>0.11969778809157047</v>
      </c>
      <c r="Y74" s="48">
        <f t="shared" si="142"/>
        <v>7.1685304845926612E-2</v>
      </c>
      <c r="Z74" s="48"/>
      <c r="AA74" s="48">
        <f t="shared" si="143"/>
        <v>0.16069253433713679</v>
      </c>
      <c r="AB74" s="48">
        <f t="shared" si="144"/>
        <v>3.6544132332582088E-3</v>
      </c>
      <c r="AC74" s="48">
        <f t="shared" si="145"/>
        <v>-558.17187481819792</v>
      </c>
      <c r="AD74" s="48"/>
      <c r="AE74" s="48">
        <f t="shared" si="146"/>
        <v>-3.1404330067676169</v>
      </c>
      <c r="AF74" s="48">
        <f t="shared" si="147"/>
        <v>3.6710808492918128E-3</v>
      </c>
      <c r="AG74" s="48">
        <f t="shared" si="148"/>
        <v>8948.8169787148363</v>
      </c>
      <c r="AH74" s="33"/>
      <c r="AI74" s="48">
        <f t="shared" si="149"/>
        <v>-2.2231365839307582</v>
      </c>
      <c r="AJ74" s="48">
        <f t="shared" si="150"/>
        <v>3.4409600894680349E-2</v>
      </c>
      <c r="AK74" s="48">
        <f t="shared" si="151"/>
        <v>5615.2663996096753</v>
      </c>
      <c r="AL74" s="33"/>
      <c r="AM74" s="33"/>
      <c r="AN74" s="48">
        <f t="shared" si="152"/>
        <v>0.28296630803737416</v>
      </c>
      <c r="AO74" s="48">
        <f t="shared" si="153"/>
        <v>0.31110191548822758</v>
      </c>
      <c r="AP74" s="48">
        <f t="shared" si="154"/>
        <v>0.37432182281234128</v>
      </c>
      <c r="AQ74" s="48">
        <f t="shared" si="155"/>
        <v>3.1609953662056857E-2</v>
      </c>
      <c r="AR74" s="33"/>
      <c r="AS74" s="48"/>
      <c r="AT74" s="33">
        <f t="shared" si="156"/>
        <v>154569.81303897273</v>
      </c>
      <c r="AU74" s="33">
        <f t="shared" si="157"/>
        <v>166.8442025337865</v>
      </c>
      <c r="AV74" s="35">
        <f t="shared" si="158"/>
        <v>653.28202875252339</v>
      </c>
      <c r="AW74" s="33"/>
      <c r="AX74" s="35"/>
      <c r="AY74" s="33"/>
      <c r="AZ74" s="33"/>
      <c r="BA74" s="33"/>
      <c r="BB74" s="49"/>
      <c r="BD74" s="33"/>
      <c r="BE74" s="36"/>
      <c r="BF74" s="36"/>
      <c r="BG74" s="33"/>
      <c r="BH74" s="33"/>
      <c r="BI74" s="38"/>
    </row>
    <row r="75" spans="1:197" x14ac:dyDescent="0.55000000000000004">
      <c r="B75" s="37"/>
      <c r="C75" s="135" t="s">
        <v>188</v>
      </c>
      <c r="D75" s="158" t="s">
        <v>277</v>
      </c>
      <c r="E75" s="9" t="s">
        <v>303</v>
      </c>
      <c r="F75" s="158" t="s">
        <v>240</v>
      </c>
      <c r="H75" s="32">
        <v>8370</v>
      </c>
      <c r="J75" s="94">
        <f t="shared" si="138"/>
        <v>656.00251045238667</v>
      </c>
      <c r="K75" s="35"/>
      <c r="L75" s="23">
        <v>2.5619999999999998</v>
      </c>
      <c r="M75" s="23">
        <v>2.4900000000000002</v>
      </c>
      <c r="N75" s="23">
        <v>2.996</v>
      </c>
      <c r="O75" s="23">
        <v>0.253</v>
      </c>
      <c r="P75" s="33"/>
      <c r="Q75" s="23">
        <v>2.0329999999999999</v>
      </c>
      <c r="R75" s="23">
        <v>0.47299999999999998</v>
      </c>
      <c r="S75" s="23">
        <v>0.35299999999999998</v>
      </c>
      <c r="T75" s="23">
        <v>0.21</v>
      </c>
      <c r="U75" s="33"/>
      <c r="V75" s="48">
        <f t="shared" si="139"/>
        <v>0.65558625137549409</v>
      </c>
      <c r="W75" s="33">
        <f t="shared" si="140"/>
        <v>0.15724681766350512</v>
      </c>
      <c r="X75" s="48">
        <f t="shared" si="141"/>
        <v>0.1173533332668442</v>
      </c>
      <c r="Y75" s="48">
        <f t="shared" si="142"/>
        <v>6.9813597694156612E-2</v>
      </c>
      <c r="Z75" s="48"/>
      <c r="AA75" s="48">
        <f t="shared" si="143"/>
        <v>0.14800992450436518</v>
      </c>
      <c r="AB75" s="48">
        <f t="shared" si="144"/>
        <v>3.7571346150455515E-3</v>
      </c>
      <c r="AC75" s="48">
        <f t="shared" si="145"/>
        <v>-538.63074143625477</v>
      </c>
      <c r="AD75" s="48"/>
      <c r="AE75" s="48">
        <f t="shared" si="146"/>
        <v>-3.0416468283419982</v>
      </c>
      <c r="AF75" s="48">
        <f t="shared" si="147"/>
        <v>3.5713724503957898E-3</v>
      </c>
      <c r="AG75" s="48">
        <f t="shared" si="148"/>
        <v>8754.4240496750426</v>
      </c>
      <c r="AH75" s="33"/>
      <c r="AI75" s="48">
        <f t="shared" si="149"/>
        <v>-2.2349024567027258</v>
      </c>
      <c r="AJ75" s="48">
        <f t="shared" si="150"/>
        <v>3.3932971531941081E-2</v>
      </c>
      <c r="AK75" s="48">
        <f t="shared" si="151"/>
        <v>5683.0598252604368</v>
      </c>
      <c r="AL75" s="33"/>
      <c r="AM75" s="33"/>
      <c r="AN75" s="48">
        <f t="shared" si="152"/>
        <v>0.28296630803737416</v>
      </c>
      <c r="AO75" s="48">
        <f t="shared" si="153"/>
        <v>0.31110191548822758</v>
      </c>
      <c r="AP75" s="48">
        <f t="shared" si="154"/>
        <v>0.37432182281234128</v>
      </c>
      <c r="AQ75" s="48">
        <f t="shared" si="155"/>
        <v>3.1609953662056857E-2</v>
      </c>
      <c r="AR75" s="33"/>
      <c r="AS75" s="48"/>
      <c r="AT75" s="33">
        <f t="shared" si="156"/>
        <v>154354.18463928666</v>
      </c>
      <c r="AU75" s="33">
        <f t="shared" si="157"/>
        <v>166.12362653374799</v>
      </c>
      <c r="AV75" s="35">
        <f t="shared" si="158"/>
        <v>656.00251045238667</v>
      </c>
      <c r="AW75" s="33"/>
      <c r="AX75" s="35"/>
      <c r="AY75" s="33"/>
      <c r="AZ75" s="33"/>
      <c r="BA75" s="33"/>
      <c r="BB75" s="49"/>
      <c r="BD75" s="33"/>
      <c r="BE75" s="36"/>
      <c r="BF75" s="36"/>
      <c r="BG75" s="33"/>
      <c r="BH75" s="33"/>
      <c r="BI75" s="38"/>
    </row>
    <row r="76" spans="1:197" x14ac:dyDescent="0.55000000000000004">
      <c r="B76" s="37"/>
      <c r="C76" s="135" t="s">
        <v>188</v>
      </c>
      <c r="D76" s="158" t="s">
        <v>277</v>
      </c>
      <c r="E76" s="9" t="s">
        <v>304</v>
      </c>
      <c r="F76" s="158" t="s">
        <v>241</v>
      </c>
      <c r="H76" s="32">
        <v>8370</v>
      </c>
      <c r="J76" s="94">
        <f t="shared" si="138"/>
        <v>657.25598127532714</v>
      </c>
      <c r="K76" s="35"/>
      <c r="L76" s="23">
        <v>2.5619999999999998</v>
      </c>
      <c r="M76" s="23">
        <v>2.4900000000000002</v>
      </c>
      <c r="N76" s="23">
        <v>2.996</v>
      </c>
      <c r="O76" s="23">
        <v>0.253</v>
      </c>
      <c r="P76" s="33"/>
      <c r="Q76" s="23">
        <v>2.0369999999999999</v>
      </c>
      <c r="R76" s="23">
        <v>0.48099999999999998</v>
      </c>
      <c r="S76" s="23">
        <v>0.34300000000000003</v>
      </c>
      <c r="T76" s="23">
        <v>0.2</v>
      </c>
      <c r="U76" s="33"/>
      <c r="V76" s="48">
        <f t="shared" si="139"/>
        <v>0.65865415065219057</v>
      </c>
      <c r="W76" s="33">
        <f t="shared" si="140"/>
        <v>0.16033921243778937</v>
      </c>
      <c r="X76" s="48">
        <f t="shared" si="141"/>
        <v>0.11433752570927601</v>
      </c>
      <c r="Y76" s="48">
        <f t="shared" si="142"/>
        <v>6.6669111200744022E-2</v>
      </c>
      <c r="Z76" s="48"/>
      <c r="AA76" s="48">
        <f t="shared" si="143"/>
        <v>0.12840893815994975</v>
      </c>
      <c r="AB76" s="48">
        <f t="shared" si="144"/>
        <v>3.8431333518428794E-3</v>
      </c>
      <c r="AC76" s="48">
        <f t="shared" si="145"/>
        <v>-504.34440448129135</v>
      </c>
      <c r="AD76" s="48"/>
      <c r="AE76" s="48">
        <f t="shared" si="146"/>
        <v>-2.9306808351107909</v>
      </c>
      <c r="AF76" s="48">
        <f t="shared" si="147"/>
        <v>3.5908995750383653E-3</v>
      </c>
      <c r="AG76" s="48">
        <f t="shared" si="148"/>
        <v>8532.4037785339679</v>
      </c>
      <c r="AH76" s="33"/>
      <c r="AI76" s="48">
        <f t="shared" si="149"/>
        <v>-2.235650319932553</v>
      </c>
      <c r="AJ76" s="48">
        <f t="shared" si="150"/>
        <v>3.3374885568301614E-2</v>
      </c>
      <c r="AK76" s="48">
        <f t="shared" si="151"/>
        <v>5721.6005893329966</v>
      </c>
      <c r="AL76" s="33"/>
      <c r="AM76" s="33"/>
      <c r="AN76" s="48">
        <f t="shared" si="152"/>
        <v>0.28296630803737416</v>
      </c>
      <c r="AO76" s="48">
        <f t="shared" si="153"/>
        <v>0.31110191548822758</v>
      </c>
      <c r="AP76" s="48">
        <f t="shared" si="154"/>
        <v>0.37432182281234128</v>
      </c>
      <c r="AQ76" s="48">
        <f t="shared" si="155"/>
        <v>3.1609953662056857E-2</v>
      </c>
      <c r="AR76" s="33"/>
      <c r="AS76" s="48"/>
      <c r="AT76" s="33">
        <f t="shared" si="156"/>
        <v>154097.3216637969</v>
      </c>
      <c r="AU76" s="33">
        <f t="shared" si="157"/>
        <v>165.62374357543624</v>
      </c>
      <c r="AV76" s="35">
        <f t="shared" si="158"/>
        <v>657.25598127532714</v>
      </c>
      <c r="AW76" s="33"/>
      <c r="AX76" s="35"/>
      <c r="AY76" s="33"/>
      <c r="AZ76" s="33"/>
      <c r="BA76" s="33"/>
      <c r="BB76" s="49"/>
      <c r="BD76" s="33"/>
      <c r="BE76" s="36"/>
      <c r="BF76" s="36"/>
      <c r="BG76" s="33"/>
      <c r="BH76" s="33"/>
      <c r="BI76" s="38"/>
    </row>
    <row r="77" spans="1:197" x14ac:dyDescent="0.55000000000000004">
      <c r="B77" s="37"/>
      <c r="C77" s="135" t="s">
        <v>188</v>
      </c>
      <c r="D77" s="158" t="s">
        <v>277</v>
      </c>
      <c r="E77" s="9" t="s">
        <v>305</v>
      </c>
      <c r="F77" s="158" t="s">
        <v>242</v>
      </c>
      <c r="H77" s="32">
        <v>8370</v>
      </c>
      <c r="J77" s="94">
        <f t="shared" si="138"/>
        <v>658.72899136750107</v>
      </c>
      <c r="K77" s="35"/>
      <c r="L77" s="23">
        <v>2.5619999999999998</v>
      </c>
      <c r="M77" s="23">
        <v>2.4900000000000002</v>
      </c>
      <c r="N77" s="23">
        <v>2.996</v>
      </c>
      <c r="O77" s="23">
        <v>0.253</v>
      </c>
      <c r="P77" s="33"/>
      <c r="Q77" s="23">
        <v>2.0259999999999998</v>
      </c>
      <c r="R77" s="23">
        <v>0.48499999999999999</v>
      </c>
      <c r="S77" s="23">
        <v>0.33300000000000002</v>
      </c>
      <c r="T77" s="23">
        <v>0.2</v>
      </c>
      <c r="U77" s="33"/>
      <c r="V77" s="48">
        <f t="shared" si="139"/>
        <v>0.65875798633691096</v>
      </c>
      <c r="W77" s="33">
        <f t="shared" si="140"/>
        <v>0.16257600847406492</v>
      </c>
      <c r="X77" s="48">
        <f t="shared" si="141"/>
        <v>0.11162435221002809</v>
      </c>
      <c r="Y77" s="48">
        <f t="shared" si="142"/>
        <v>6.704165297899585E-2</v>
      </c>
      <c r="Z77" s="48"/>
      <c r="AA77" s="48">
        <f t="shared" si="143"/>
        <v>0.12176038099606015</v>
      </c>
      <c r="AB77" s="48">
        <f t="shared" si="144"/>
        <v>3.9014076381813571E-3</v>
      </c>
      <c r="AC77" s="48">
        <f t="shared" si="145"/>
        <v>-489.65731983833155</v>
      </c>
      <c r="AD77" s="48"/>
      <c r="AE77" s="48">
        <f t="shared" si="146"/>
        <v>-2.8897237234719517</v>
      </c>
      <c r="AF77" s="48">
        <f t="shared" si="147"/>
        <v>3.6291377111091444E-3</v>
      </c>
      <c r="AG77" s="48">
        <f t="shared" si="148"/>
        <v>8428.5026737942608</v>
      </c>
      <c r="AH77" s="33"/>
      <c r="AI77" s="48">
        <f t="shared" si="149"/>
        <v>-2.2307724155303861</v>
      </c>
      <c r="AJ77" s="48">
        <f t="shared" si="150"/>
        <v>3.30402064139362E-2</v>
      </c>
      <c r="AK77" s="48">
        <f t="shared" si="151"/>
        <v>5745.6593686067317</v>
      </c>
      <c r="AL77" s="33"/>
      <c r="AM77" s="33"/>
      <c r="AN77" s="48">
        <f t="shared" si="152"/>
        <v>0.28296630803737416</v>
      </c>
      <c r="AO77" s="48">
        <f t="shared" si="153"/>
        <v>0.31110191548822758</v>
      </c>
      <c r="AP77" s="48">
        <f t="shared" si="154"/>
        <v>0.37432182281234128</v>
      </c>
      <c r="AQ77" s="48">
        <f t="shared" si="155"/>
        <v>3.1609953662056857E-2</v>
      </c>
      <c r="AR77" s="33"/>
      <c r="AS77" s="48"/>
      <c r="AT77" s="33">
        <f t="shared" si="156"/>
        <v>153978.5657718365</v>
      </c>
      <c r="AU77" s="33">
        <f t="shared" si="157"/>
        <v>165.23450705319382</v>
      </c>
      <c r="AV77" s="35">
        <f t="shared" si="158"/>
        <v>658.72899136750107</v>
      </c>
      <c r="AW77" s="33"/>
      <c r="AX77" s="35"/>
      <c r="AY77" s="33"/>
      <c r="AZ77" s="33"/>
      <c r="BA77" s="33"/>
      <c r="BB77" s="49"/>
      <c r="BD77" s="33"/>
      <c r="BE77" s="36"/>
      <c r="BF77" s="36"/>
      <c r="BG77" s="33"/>
      <c r="BH77" s="33"/>
      <c r="BI77" s="38"/>
    </row>
    <row r="78" spans="1:197" x14ac:dyDescent="0.55000000000000004">
      <c r="B78" s="37"/>
      <c r="C78" s="135" t="s">
        <v>188</v>
      </c>
      <c r="D78" s="158" t="s">
        <v>277</v>
      </c>
      <c r="E78" s="9" t="s">
        <v>306</v>
      </c>
      <c r="F78" s="158" t="s">
        <v>243</v>
      </c>
      <c r="H78" s="32">
        <v>8370</v>
      </c>
      <c r="J78" s="94">
        <f t="shared" si="138"/>
        <v>660.45909842897481</v>
      </c>
      <c r="K78" s="35"/>
      <c r="L78" s="23">
        <v>2.5619999999999998</v>
      </c>
      <c r="M78" s="23">
        <v>2.4900000000000002</v>
      </c>
      <c r="N78" s="23">
        <v>2.996</v>
      </c>
      <c r="O78" s="23">
        <v>0.253</v>
      </c>
      <c r="P78" s="33"/>
      <c r="Q78" s="23">
        <v>2.04</v>
      </c>
      <c r="R78" s="23">
        <v>0.495</v>
      </c>
      <c r="S78" s="23">
        <v>0.34200000000000003</v>
      </c>
      <c r="T78" s="23">
        <v>0.19</v>
      </c>
      <c r="U78" s="33"/>
      <c r="V78" s="48">
        <f t="shared" si="139"/>
        <v>0.65832723401423909</v>
      </c>
      <c r="W78" s="33">
        <f t="shared" si="140"/>
        <v>0.16468161554328301</v>
      </c>
      <c r="X78" s="48">
        <f t="shared" si="141"/>
        <v>0.11378002528445008</v>
      </c>
      <c r="Y78" s="48">
        <f t="shared" si="142"/>
        <v>6.321112515802782E-2</v>
      </c>
      <c r="Z78" s="48"/>
      <c r="AA78" s="48">
        <f t="shared" si="143"/>
        <v>0.11365402300588189</v>
      </c>
      <c r="AB78" s="48">
        <f t="shared" si="144"/>
        <v>3.9624539871452435E-3</v>
      </c>
      <c r="AC78" s="48">
        <f t="shared" si="145"/>
        <v>-487.0076222164887</v>
      </c>
      <c r="AD78" s="48"/>
      <c r="AE78" s="48">
        <f t="shared" si="146"/>
        <v>-2.8100186506970517</v>
      </c>
      <c r="AF78" s="48">
        <f t="shared" si="147"/>
        <v>3.3219785085065456E-3</v>
      </c>
      <c r="AG78" s="48">
        <f t="shared" si="148"/>
        <v>8323.2256552918734</v>
      </c>
      <c r="AH78" s="33"/>
      <c r="AI78" s="48">
        <f t="shared" si="149"/>
        <v>-2.2682160581260167</v>
      </c>
      <c r="AJ78" s="48">
        <f t="shared" si="150"/>
        <v>3.2938202742603236E-2</v>
      </c>
      <c r="AK78" s="48">
        <f t="shared" si="151"/>
        <v>5828.2689922669178</v>
      </c>
      <c r="AL78" s="33"/>
      <c r="AM78" s="33"/>
      <c r="AN78" s="48">
        <f t="shared" si="152"/>
        <v>0.28296630803737416</v>
      </c>
      <c r="AO78" s="48">
        <f t="shared" si="153"/>
        <v>0.31110191548822758</v>
      </c>
      <c r="AP78" s="48">
        <f t="shared" si="154"/>
        <v>0.37432182281234128</v>
      </c>
      <c r="AQ78" s="48">
        <f t="shared" si="155"/>
        <v>3.1609953662056857E-2</v>
      </c>
      <c r="AR78" s="33"/>
      <c r="AS78" s="48"/>
      <c r="AT78" s="33">
        <f t="shared" si="156"/>
        <v>153867.55717524566</v>
      </c>
      <c r="AU78" s="33">
        <f t="shared" si="157"/>
        <v>164.80940195866276</v>
      </c>
      <c r="AV78" s="35">
        <f t="shared" si="158"/>
        <v>660.45909842897481</v>
      </c>
      <c r="AW78" s="33"/>
      <c r="AX78" s="35"/>
      <c r="AY78" s="33"/>
      <c r="AZ78" s="33"/>
      <c r="BA78" s="33"/>
      <c r="BB78" s="49"/>
      <c r="BD78" s="33"/>
      <c r="BE78" s="36"/>
      <c r="BF78" s="36"/>
      <c r="BG78" s="33"/>
      <c r="BH78" s="33"/>
      <c r="BI78" s="38"/>
    </row>
    <row r="79" spans="1:197" x14ac:dyDescent="0.55000000000000004">
      <c r="B79" s="37"/>
      <c r="C79" s="135" t="s">
        <v>188</v>
      </c>
      <c r="D79" s="158" t="s">
        <v>277</v>
      </c>
      <c r="E79" s="9" t="s">
        <v>307</v>
      </c>
      <c r="F79" s="158" t="s">
        <v>244</v>
      </c>
      <c r="H79" s="32">
        <v>8370</v>
      </c>
      <c r="J79" s="94">
        <f t="shared" si="138"/>
        <v>662.31919152097862</v>
      </c>
      <c r="K79" s="35"/>
      <c r="L79" s="23">
        <v>2.5619999999999998</v>
      </c>
      <c r="M79" s="23">
        <v>2.4900000000000002</v>
      </c>
      <c r="N79" s="23">
        <v>2.996</v>
      </c>
      <c r="O79" s="23">
        <v>0.253</v>
      </c>
      <c r="P79" s="33"/>
      <c r="Q79" s="23">
        <v>2.0219999999999998</v>
      </c>
      <c r="R79" s="23">
        <v>0.495</v>
      </c>
      <c r="S79" s="23">
        <v>0.36199999999999999</v>
      </c>
      <c r="T79" s="23">
        <v>0.18099999999999999</v>
      </c>
      <c r="U79" s="33"/>
      <c r="V79" s="48">
        <f t="shared" si="139"/>
        <v>0.65392386324991492</v>
      </c>
      <c r="W79" s="33">
        <f t="shared" si="140"/>
        <v>0.16503630798775731</v>
      </c>
      <c r="X79" s="48">
        <f t="shared" si="141"/>
        <v>0.12069321917488515</v>
      </c>
      <c r="Y79" s="48">
        <f t="shared" si="142"/>
        <v>6.0346609587442576E-2</v>
      </c>
      <c r="Z79" s="48"/>
      <c r="AA79" s="48">
        <f t="shared" si="143"/>
        <v>0.12302907676543755</v>
      </c>
      <c r="AB79" s="48">
        <f t="shared" si="144"/>
        <v>3.973881896215053E-3</v>
      </c>
      <c r="AC79" s="48">
        <f t="shared" si="145"/>
        <v>-523.40174094289989</v>
      </c>
      <c r="AD79" s="48"/>
      <c r="AE79" s="48">
        <f t="shared" si="146"/>
        <v>-2.7963387817178678</v>
      </c>
      <c r="AF79" s="48">
        <f t="shared" si="147"/>
        <v>2.7801259502655113E-3</v>
      </c>
      <c r="AG79" s="48">
        <f t="shared" si="148"/>
        <v>8387.1979458355036</v>
      </c>
      <c r="AH79" s="33"/>
      <c r="AI79" s="48">
        <f t="shared" si="149"/>
        <v>-2.3305479774700517</v>
      </c>
      <c r="AJ79" s="48">
        <f t="shared" si="150"/>
        <v>3.3384734966302829E-2</v>
      </c>
      <c r="AK79" s="48">
        <f t="shared" si="151"/>
        <v>5926.3997253905191</v>
      </c>
      <c r="AL79" s="33"/>
      <c r="AM79" s="33"/>
      <c r="AN79" s="48">
        <f t="shared" si="152"/>
        <v>0.28296630803737416</v>
      </c>
      <c r="AO79" s="48">
        <f t="shared" si="153"/>
        <v>0.31110191548822758</v>
      </c>
      <c r="AP79" s="48">
        <f t="shared" si="154"/>
        <v>0.37432182281234128</v>
      </c>
      <c r="AQ79" s="48">
        <f t="shared" si="155"/>
        <v>3.1609953662056857E-2</v>
      </c>
      <c r="AR79" s="33"/>
      <c r="AS79" s="48"/>
      <c r="AT79" s="33">
        <f t="shared" si="156"/>
        <v>153963.2926270043</v>
      </c>
      <c r="AU79" s="33">
        <f t="shared" si="157"/>
        <v>164.58403336263325</v>
      </c>
      <c r="AV79" s="35">
        <f t="shared" si="158"/>
        <v>662.31919152097862</v>
      </c>
      <c r="AW79" s="33"/>
      <c r="AX79" s="35"/>
      <c r="AY79" s="33"/>
      <c r="AZ79" s="33"/>
      <c r="BA79" s="33"/>
      <c r="BB79" s="49"/>
      <c r="BD79" s="33"/>
      <c r="BE79" s="36"/>
      <c r="BF79" s="36"/>
      <c r="BG79" s="33"/>
      <c r="BH79" s="33"/>
      <c r="BI79" s="38"/>
    </row>
    <row r="80" spans="1:197" x14ac:dyDescent="0.55000000000000004">
      <c r="B80" s="37"/>
      <c r="C80" s="135" t="s">
        <v>188</v>
      </c>
      <c r="D80" s="158" t="s">
        <v>277</v>
      </c>
      <c r="E80" s="9" t="s">
        <v>308</v>
      </c>
      <c r="F80" s="158" t="s">
        <v>245</v>
      </c>
      <c r="H80" s="32">
        <v>8370</v>
      </c>
      <c r="J80" s="94">
        <f t="shared" si="138"/>
        <v>666.31536840571607</v>
      </c>
      <c r="K80" s="35"/>
      <c r="L80" s="23">
        <v>2.5619999999999998</v>
      </c>
      <c r="M80" s="23">
        <v>2.4900000000000002</v>
      </c>
      <c r="N80" s="23">
        <v>2.996</v>
      </c>
      <c r="O80" s="23">
        <v>0.253</v>
      </c>
      <c r="P80" s="33"/>
      <c r="Q80" s="23">
        <v>2.0289999999999999</v>
      </c>
      <c r="R80" s="23">
        <v>0.51300000000000001</v>
      </c>
      <c r="S80" s="23">
        <v>0.36099999999999999</v>
      </c>
      <c r="T80" s="23">
        <v>0.17599999999999999</v>
      </c>
      <c r="U80" s="33"/>
      <c r="V80" s="48">
        <f t="shared" si="139"/>
        <v>0.65210246079526057</v>
      </c>
      <c r="W80" s="33">
        <f t="shared" si="140"/>
        <v>0.16997279772574408</v>
      </c>
      <c r="X80" s="48">
        <f t="shared" si="141"/>
        <v>0.11961048728848657</v>
      </c>
      <c r="Y80" s="48">
        <f t="shared" si="142"/>
        <v>5.8314254190508688E-2</v>
      </c>
      <c r="Z80" s="48"/>
      <c r="AA80" s="48">
        <f t="shared" si="143"/>
        <v>0.1113114542711055</v>
      </c>
      <c r="AB80" s="48">
        <f t="shared" si="144"/>
        <v>4.1063416693609004E-3</v>
      </c>
      <c r="AC80" s="48">
        <f t="shared" si="145"/>
        <v>-510.95428098724506</v>
      </c>
      <c r="AD80" s="48"/>
      <c r="AE80" s="48">
        <f t="shared" si="146"/>
        <v>-2.6892479042078898</v>
      </c>
      <c r="AF80" s="48">
        <f t="shared" si="147"/>
        <v>2.5125812924602841E-3</v>
      </c>
      <c r="AG80" s="48">
        <f t="shared" si="148"/>
        <v>8193.0763056034339</v>
      </c>
      <c r="AH80" s="33"/>
      <c r="AI80" s="48">
        <f t="shared" si="149"/>
        <v>-2.3648060745213284</v>
      </c>
      <c r="AJ80" s="48">
        <f t="shared" si="150"/>
        <v>3.2957797104340977E-2</v>
      </c>
      <c r="AK80" s="48">
        <f t="shared" si="151"/>
        <v>6046.2841431535089</v>
      </c>
      <c r="AL80" s="33"/>
      <c r="AM80" s="33"/>
      <c r="AN80" s="48">
        <f t="shared" si="152"/>
        <v>0.28296630803737416</v>
      </c>
      <c r="AO80" s="48">
        <f t="shared" si="153"/>
        <v>0.31110191548822758</v>
      </c>
      <c r="AP80" s="48">
        <f t="shared" si="154"/>
        <v>0.37432182281234128</v>
      </c>
      <c r="AQ80" s="48">
        <f t="shared" si="155"/>
        <v>3.1609953662056857E-2</v>
      </c>
      <c r="AR80" s="33"/>
      <c r="AS80" s="48"/>
      <c r="AT80" s="33">
        <f t="shared" si="156"/>
        <v>153753.37548972951</v>
      </c>
      <c r="AU80" s="33">
        <f t="shared" si="157"/>
        <v>163.66050379339777</v>
      </c>
      <c r="AV80" s="35">
        <f t="shared" si="158"/>
        <v>666.31536840571607</v>
      </c>
      <c r="AW80" s="33"/>
      <c r="AX80" s="35"/>
      <c r="AY80" s="33"/>
      <c r="AZ80" s="33"/>
      <c r="BA80" s="33"/>
      <c r="BB80" s="49"/>
      <c r="BD80" s="33"/>
      <c r="BE80" s="36"/>
      <c r="BF80" s="36"/>
      <c r="BG80" s="33"/>
      <c r="BH80" s="33"/>
      <c r="BI80" s="38"/>
    </row>
    <row r="81" spans="2:61" x14ac:dyDescent="0.55000000000000004">
      <c r="B81" s="37"/>
      <c r="C81" s="135" t="s">
        <v>188</v>
      </c>
      <c r="D81" s="158" t="s">
        <v>277</v>
      </c>
      <c r="E81" s="9" t="s">
        <v>309</v>
      </c>
      <c r="F81" s="158" t="s">
        <v>246</v>
      </c>
      <c r="H81" s="32">
        <v>8370</v>
      </c>
      <c r="J81" s="94">
        <f t="shared" si="138"/>
        <v>666.00739759153191</v>
      </c>
      <c r="K81" s="35"/>
      <c r="L81" s="23">
        <v>2.5619999999999998</v>
      </c>
      <c r="M81" s="23">
        <v>2.4900000000000002</v>
      </c>
      <c r="N81" s="23">
        <v>2.996</v>
      </c>
      <c r="O81" s="23">
        <v>0.253</v>
      </c>
      <c r="P81" s="33"/>
      <c r="Q81" s="23">
        <v>2.0099999999999998</v>
      </c>
      <c r="R81" s="23">
        <v>0.504</v>
      </c>
      <c r="S81" s="23">
        <v>0.38</v>
      </c>
      <c r="T81" s="23">
        <v>0.17100000000000001</v>
      </c>
      <c r="U81" s="33"/>
      <c r="V81" s="48">
        <f t="shared" si="139"/>
        <v>0.64888341598162891</v>
      </c>
      <c r="W81" s="33">
        <f t="shared" si="140"/>
        <v>0.16773721170166744</v>
      </c>
      <c r="X81" s="48">
        <f t="shared" si="141"/>
        <v>0.12646853263220958</v>
      </c>
      <c r="Y81" s="48">
        <f t="shared" si="142"/>
        <v>5.6910839684494313E-2</v>
      </c>
      <c r="Z81" s="48"/>
      <c r="AA81" s="48">
        <f t="shared" si="143"/>
        <v>0.12670965507417051</v>
      </c>
      <c r="AB81" s="48">
        <f t="shared" si="144"/>
        <v>4.0464245126140734E-3</v>
      </c>
      <c r="AC81" s="48">
        <f t="shared" si="145"/>
        <v>-551.90089156442798</v>
      </c>
      <c r="AD81" s="48"/>
      <c r="AE81" s="48">
        <f t="shared" si="146"/>
        <v>-2.7347317705620497</v>
      </c>
      <c r="AF81" s="48">
        <f t="shared" si="147"/>
        <v>2.1708260469143863E-3</v>
      </c>
      <c r="AG81" s="48">
        <f t="shared" si="148"/>
        <v>8355.491021241307</v>
      </c>
      <c r="AH81" s="33"/>
      <c r="AI81" s="48">
        <f t="shared" si="149"/>
        <v>-2.4020663223918444</v>
      </c>
      <c r="AJ81" s="48">
        <f t="shared" si="150"/>
        <v>3.3585021557694092E-2</v>
      </c>
      <c r="AK81" s="48">
        <f t="shared" si="151"/>
        <v>6069.5487491410777</v>
      </c>
      <c r="AL81" s="33"/>
      <c r="AM81" s="33"/>
      <c r="AN81" s="48">
        <f t="shared" si="152"/>
        <v>0.28296630803737416</v>
      </c>
      <c r="AO81" s="48">
        <f t="shared" si="153"/>
        <v>0.31110191548822758</v>
      </c>
      <c r="AP81" s="48">
        <f t="shared" si="154"/>
        <v>0.37432182281234128</v>
      </c>
      <c r="AQ81" s="48">
        <f t="shared" si="155"/>
        <v>3.1609953662056857E-2</v>
      </c>
      <c r="AR81" s="33"/>
      <c r="AS81" s="48"/>
      <c r="AT81" s="33">
        <f t="shared" si="156"/>
        <v>153954.37783114132</v>
      </c>
      <c r="AU81" s="33">
        <f t="shared" si="157"/>
        <v>163.92819587638573</v>
      </c>
      <c r="AV81" s="35">
        <f t="shared" si="158"/>
        <v>666.00739759153191</v>
      </c>
      <c r="AW81" s="33"/>
      <c r="AX81" s="35"/>
      <c r="AY81" s="33"/>
      <c r="AZ81" s="33"/>
      <c r="BA81" s="33"/>
      <c r="BB81" s="49"/>
      <c r="BD81" s="33"/>
      <c r="BE81" s="36"/>
      <c r="BF81" s="36"/>
      <c r="BG81" s="33"/>
      <c r="BH81" s="33"/>
      <c r="BI81" s="38"/>
    </row>
    <row r="82" spans="2:61" x14ac:dyDescent="0.55000000000000004">
      <c r="B82" s="37"/>
      <c r="C82" s="135" t="s">
        <v>188</v>
      </c>
      <c r="D82" s="158" t="s">
        <v>277</v>
      </c>
      <c r="E82" s="9" t="s">
        <v>310</v>
      </c>
      <c r="F82" s="158" t="s">
        <v>247</v>
      </c>
      <c r="H82" s="32">
        <v>8370</v>
      </c>
      <c r="J82" s="94">
        <f t="shared" si="138"/>
        <v>669.36356863144113</v>
      </c>
      <c r="K82" s="35"/>
      <c r="L82" s="23">
        <v>2.5619999999999998</v>
      </c>
      <c r="M82" s="23">
        <v>2.4900000000000002</v>
      </c>
      <c r="N82" s="23">
        <v>2.996</v>
      </c>
      <c r="O82" s="23">
        <v>0.253</v>
      </c>
      <c r="P82" s="33"/>
      <c r="Q82" s="23">
        <v>1.986</v>
      </c>
      <c r="R82" s="23">
        <v>0.50800000000000001</v>
      </c>
      <c r="S82" s="23">
        <v>0.39900000000000002</v>
      </c>
      <c r="T82" s="23">
        <v>0.16200000000000001</v>
      </c>
      <c r="U82" s="33"/>
      <c r="V82" s="48">
        <f t="shared" si="139"/>
        <v>0.64312183266453449</v>
      </c>
      <c r="W82" s="33">
        <f t="shared" si="140"/>
        <v>0.16959224415941671</v>
      </c>
      <c r="X82" s="48">
        <f t="shared" si="141"/>
        <v>0.13320335712521114</v>
      </c>
      <c r="Y82" s="48">
        <f t="shared" si="142"/>
        <v>5.408256605083761E-2</v>
      </c>
      <c r="Z82" s="48"/>
      <c r="AA82" s="48">
        <f t="shared" si="143"/>
        <v>0.13575026346875663</v>
      </c>
      <c r="AB82" s="48">
        <f t="shared" si="144"/>
        <v>4.0927736177876857E-3</v>
      </c>
      <c r="AC82" s="48">
        <f t="shared" si="145"/>
        <v>-590.34071868379897</v>
      </c>
      <c r="AD82" s="48"/>
      <c r="AE82" s="48">
        <f t="shared" si="146"/>
        <v>-2.7003046494182508</v>
      </c>
      <c r="AF82" s="48">
        <f t="shared" si="147"/>
        <v>1.5676569747327563E-3</v>
      </c>
      <c r="AG82" s="48">
        <f t="shared" si="148"/>
        <v>8380.4888774609644</v>
      </c>
      <c r="AH82" s="33"/>
      <c r="AI82" s="48">
        <f t="shared" si="149"/>
        <v>-2.4721992108485855</v>
      </c>
      <c r="AJ82" s="48">
        <f t="shared" si="150"/>
        <v>3.3927632066481618E-2</v>
      </c>
      <c r="AK82" s="48">
        <f t="shared" si="151"/>
        <v>6197.9363816000268</v>
      </c>
      <c r="AL82" s="33"/>
      <c r="AM82" s="33"/>
      <c r="AN82" s="48">
        <f t="shared" si="152"/>
        <v>0.28296630803737416</v>
      </c>
      <c r="AO82" s="48">
        <f t="shared" si="153"/>
        <v>0.31110191548822758</v>
      </c>
      <c r="AP82" s="48">
        <f t="shared" si="154"/>
        <v>0.37432182281234128</v>
      </c>
      <c r="AQ82" s="48">
        <f t="shared" si="155"/>
        <v>3.1609953662056857E-2</v>
      </c>
      <c r="AR82" s="33"/>
      <c r="AS82" s="48"/>
      <c r="AT82" s="33">
        <f t="shared" si="156"/>
        <v>154012.37904733588</v>
      </c>
      <c r="AU82" s="33">
        <f t="shared" si="157"/>
        <v>163.40600726944083</v>
      </c>
      <c r="AV82" s="35">
        <f t="shared" si="158"/>
        <v>669.36356863144113</v>
      </c>
      <c r="AW82" s="33"/>
      <c r="AX82" s="35"/>
      <c r="AY82" s="33"/>
      <c r="AZ82" s="33"/>
      <c r="BA82" s="33"/>
      <c r="BB82" s="49"/>
      <c r="BD82" s="33"/>
      <c r="BE82" s="36"/>
      <c r="BF82" s="36"/>
      <c r="BG82" s="33"/>
      <c r="BH82" s="33"/>
      <c r="BI82" s="38"/>
    </row>
    <row r="83" spans="2:61" x14ac:dyDescent="0.55000000000000004">
      <c r="B83" s="37"/>
      <c r="C83" s="135" t="s">
        <v>188</v>
      </c>
      <c r="D83" s="158" t="s">
        <v>277</v>
      </c>
      <c r="E83" s="130" t="s">
        <v>311</v>
      </c>
      <c r="F83" s="158" t="s">
        <v>250</v>
      </c>
      <c r="H83" s="32">
        <v>8370</v>
      </c>
      <c r="J83" s="94">
        <f t="shared" si="138"/>
        <v>671.50942676133218</v>
      </c>
      <c r="K83" s="35"/>
      <c r="L83" s="23">
        <v>2.5619999999999998</v>
      </c>
      <c r="M83" s="23">
        <v>2.4900000000000002</v>
      </c>
      <c r="N83" s="23">
        <v>2.996</v>
      </c>
      <c r="O83" s="23">
        <v>0.253</v>
      </c>
      <c r="P83" s="33"/>
      <c r="Q83" s="23">
        <v>2</v>
      </c>
      <c r="R83" s="23">
        <v>0.52400000000000002</v>
      </c>
      <c r="S83" s="23">
        <v>0.38200000000000001</v>
      </c>
      <c r="T83" s="23">
        <v>0.151</v>
      </c>
      <c r="U83" s="33"/>
      <c r="V83" s="48">
        <f t="shared" si="139"/>
        <v>0.64731398064731394</v>
      </c>
      <c r="W83" s="33">
        <f t="shared" si="140"/>
        <v>0.17484150817484151</v>
      </c>
      <c r="X83" s="48">
        <f t="shared" si="141"/>
        <v>0.12746079412746081</v>
      </c>
      <c r="Y83" s="48">
        <f t="shared" si="142"/>
        <v>5.038371705038372E-2</v>
      </c>
      <c r="Z83" s="48"/>
      <c r="AA83" s="48">
        <f t="shared" si="143"/>
        <v>0.10318290852116904</v>
      </c>
      <c r="AB83" s="48">
        <f t="shared" si="144"/>
        <v>4.2468855332641539E-3</v>
      </c>
      <c r="AC83" s="48">
        <f t="shared" si="145"/>
        <v>-531.93136960868628</v>
      </c>
      <c r="AD83" s="48"/>
      <c r="AE83" s="48">
        <f t="shared" si="146"/>
        <v>-2.5397141917823367</v>
      </c>
      <c r="AF83" s="48">
        <f t="shared" si="147"/>
        <v>1.6350581570056763E-3</v>
      </c>
      <c r="AG83" s="48">
        <f t="shared" si="148"/>
        <v>8042.6326506455825</v>
      </c>
      <c r="AH83" s="33"/>
      <c r="AI83" s="48">
        <f t="shared" si="149"/>
        <v>-2.4762009813190664</v>
      </c>
      <c r="AJ83" s="48">
        <f t="shared" si="150"/>
        <v>3.3053188221226291E-2</v>
      </c>
      <c r="AK83" s="48">
        <f t="shared" si="151"/>
        <v>6274.0291915530797</v>
      </c>
      <c r="AL83" s="33"/>
      <c r="AM83" s="33"/>
      <c r="AN83" s="48">
        <f t="shared" si="152"/>
        <v>0.28296630803737416</v>
      </c>
      <c r="AO83" s="48">
        <f t="shared" si="153"/>
        <v>0.31110191548822758</v>
      </c>
      <c r="AP83" s="48">
        <f t="shared" si="154"/>
        <v>0.37432182281234128</v>
      </c>
      <c r="AQ83" s="48">
        <f t="shared" si="155"/>
        <v>3.1609953662056857E-2</v>
      </c>
      <c r="AR83" s="33"/>
      <c r="AS83" s="48"/>
      <c r="AT83" s="33">
        <f t="shared" si="156"/>
        <v>153615.38770260848</v>
      </c>
      <c r="AU83" s="33">
        <f t="shared" si="157"/>
        <v>162.614571295036</v>
      </c>
      <c r="AV83" s="35">
        <f t="shared" si="158"/>
        <v>671.50942676133218</v>
      </c>
      <c r="AW83" s="33"/>
      <c r="AX83" s="35"/>
      <c r="AY83" s="33"/>
      <c r="AZ83" s="33"/>
      <c r="BA83" s="33"/>
      <c r="BB83" s="49"/>
      <c r="BD83" s="33"/>
      <c r="BE83" s="36"/>
      <c r="BF83" s="36"/>
      <c r="BG83" s="33"/>
      <c r="BH83" s="33"/>
      <c r="BI83" s="38"/>
    </row>
    <row r="84" spans="2:61" x14ac:dyDescent="0.55000000000000004">
      <c r="B84" s="37"/>
      <c r="C84" s="135"/>
      <c r="H84" s="32"/>
      <c r="I84" s="37" t="s">
        <v>59</v>
      </c>
      <c r="J84" s="153">
        <f>AVERAGE(J73:J83)</f>
        <v>660.79448232159689</v>
      </c>
      <c r="K84" s="35"/>
      <c r="L84" s="23"/>
      <c r="M84" s="23"/>
      <c r="N84" s="23"/>
      <c r="O84" s="23"/>
      <c r="P84" s="33"/>
      <c r="Q84" s="23"/>
      <c r="R84" s="23"/>
      <c r="S84" s="23"/>
      <c r="T84" s="23"/>
      <c r="U84" s="33"/>
      <c r="V84" s="48"/>
      <c r="W84" s="33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33"/>
      <c r="AI84" s="48"/>
      <c r="AJ84" s="48"/>
      <c r="AK84" s="48"/>
      <c r="AL84" s="33"/>
      <c r="AM84" s="33"/>
      <c r="AN84" s="48"/>
      <c r="AO84" s="48"/>
      <c r="AP84" s="48"/>
      <c r="AQ84" s="48"/>
      <c r="AR84" s="33"/>
      <c r="AS84" s="48"/>
      <c r="AT84" s="33"/>
      <c r="AU84" s="33"/>
      <c r="AV84" s="35"/>
      <c r="AW84" s="33"/>
      <c r="AX84" s="35"/>
      <c r="AY84" s="33"/>
      <c r="AZ84" s="33"/>
      <c r="BA84" s="33"/>
      <c r="BB84" s="49"/>
      <c r="BD84" s="33"/>
      <c r="BE84" s="36"/>
      <c r="BF84" s="36"/>
      <c r="BG84" s="33"/>
      <c r="BH84" s="33"/>
      <c r="BI84" s="38"/>
    </row>
    <row r="85" spans="2:61" x14ac:dyDescent="0.55000000000000004">
      <c r="H85" s="23"/>
      <c r="J85" s="19"/>
      <c r="L85" s="23"/>
      <c r="M85" s="23"/>
      <c r="N85" s="23"/>
      <c r="O85" s="23"/>
      <c r="Q85" s="23"/>
      <c r="R85" s="23"/>
      <c r="S85" s="23"/>
      <c r="T85" s="23"/>
    </row>
    <row r="86" spans="2:61" x14ac:dyDescent="0.55000000000000004">
      <c r="B86" s="47" t="s">
        <v>84</v>
      </c>
      <c r="C86" s="135" t="s">
        <v>325</v>
      </c>
      <c r="D86" s="158" t="s">
        <v>248</v>
      </c>
      <c r="E86" t="s">
        <v>313</v>
      </c>
      <c r="F86" s="179" t="s">
        <v>278</v>
      </c>
      <c r="H86" s="32">
        <v>9690</v>
      </c>
      <c r="J86" s="94">
        <f t="shared" ref="J86:J96" si="159">AV86</f>
        <v>679.71677150564255</v>
      </c>
      <c r="K86" s="35"/>
      <c r="L86" s="127">
        <v>2.3241428571428568</v>
      </c>
      <c r="M86" s="23">
        <v>2.524</v>
      </c>
      <c r="N86" s="127">
        <v>2.8754285714285714</v>
      </c>
      <c r="O86" s="127">
        <v>0.31042857142857144</v>
      </c>
      <c r="P86" s="33"/>
      <c r="Q86" s="23">
        <v>1.9790000000000001</v>
      </c>
      <c r="R86" s="23">
        <v>0.61299999999999999</v>
      </c>
      <c r="S86" s="23">
        <v>0.42199999999999999</v>
      </c>
      <c r="T86" s="23">
        <v>7.1999999999999995E-2</v>
      </c>
      <c r="U86" s="33"/>
      <c r="V86" s="48">
        <f t="shared" ref="V86:V96" si="160">Q86*0.97/(Q86*0.97+R86+S86+T86)</f>
        <v>0.63424667038917859</v>
      </c>
      <c r="W86" s="33">
        <f t="shared" ref="W86:W96" si="161">R86/(Q86*0.97+R86+S86+T86)</f>
        <v>0.20253549327139422</v>
      </c>
      <c r="X86" s="48">
        <f t="shared" ref="X86:X96" si="162">S86/(Q86*0.97+R86+S86+T86)</f>
        <v>0.13942900189319471</v>
      </c>
      <c r="Y86" s="48">
        <f t="shared" ref="Y86:Y96" si="163">T86/(Q86*0.97+R86+S86+T86)</f>
        <v>2.3788834446232275E-2</v>
      </c>
      <c r="Z86" s="48"/>
      <c r="AA86" s="48">
        <f t="shared" ref="AA86:AA96" si="164">5.993*W86*W86-9.67*X86*X86-11.006*V86*W86+0.674*V86*X86-9.5725*W86*X86-22.765*W86*Y86-4.6665*X86*Y86+11.006*V86*V86*W86-0.674*V86*V86*X86-11.986*W86*W86*V86+37.966*W86*W86*X86+46.02*W86*W86*Y86+19.34*X86*X86*V86+25.746*X86*X86*W86+46.02*Y86*Y86*W86+19.145*V86*W86*X86+45.53*V86*W86*Y86+9.333*V86*X86*Y86+77.876*W86*X86*Y86</f>
        <v>1.6364924398905266E-2</v>
      </c>
      <c r="AB86" s="48">
        <f t="shared" ref="AB86:AB96" si="165">-0.034*W86*W86+0.135*X86*X86+0.024*Y86*Y86+0.1*V86*W86+0.08*V86*X86+0.048*V86*Y86-0.0515*W86*X86+0.07*W86*Y86+0.1765*X86*Y86-0.1*V86*V86*W86-0.08*V86*V86*X86-0.048*V86*V86*Y86+0.068*W86*W86*V86-0.136*W86*W86*X86-0.076*W86*W86*Y86-0.27*X86*X86*V86-0.28*X86*X86*W86-0.13*X86*X86*Y86-0.048*Y86*Y86*V86-0.076*Y86*Y86*W86-0.13*Y86*Y86*X86+0.103*V86*W86*X86-0.14*V86*W86*Y86-0.353*V86*X86*Y86-0.414*W86*X86*Y86</f>
        <v>5.0480451084761856E-3</v>
      </c>
      <c r="AC86" s="48">
        <f t="shared" ref="AC86:AC96" si="166">-5672*W86*W86+19932*X86*X86+1617*Y86*Y86+23244*V86*W86-2608*V86*X86+3234*V86*Y86+31326.5*W86*X86+45841*W86*Y86+12356*X86*Y86-23244*V86*V86*W86+2608*V86*V86*X86-3234*V86*V86*Y86+11344*W86*W86*V86-132228*W86*W86*X86-82498*W86*W86*Y86-39864*X86*X86*V86-51518*X86*X86*W86-2850*X86*X86*Y86-3234*Y86*Y86*V86-82498*Y86*Y86*W86-2850*Y86*Y86*X86-62653*V86*W86*X86-91682*V86*W86*Y86-24712*V86*X86*Y86-177221*W86*X86*Y86</f>
        <v>-493.73082349527101</v>
      </c>
      <c r="AD86" s="48"/>
      <c r="AE86" s="48">
        <f t="shared" ref="AE86:AE96" si="167">-5.503*V86*V86-12.873*X86*X86-23.01*Y86*Y86+11.986*V86*W86-9.5725*V86*X86-22.765*V86*Y86-37.966*W86*X86-46.02*W86*Y86-38.938*X86*Y86+11.006*V86*V86*W86-0.674*V86*V86*X86-11.986*W86*W86*V86+37.966*W86*W86*X86+46.02*W86*W86*Y86+19.34*X86*X86*V86+25.746*X86*X86*W86+46.02*Y86*Y86*W86+19.145*V86*W86*X86+45.53*V86*W86*Y86+9.333*V86*X86*Y86+77.876*W86*X86*Y86</f>
        <v>-1.8420841488743693</v>
      </c>
      <c r="AF86" s="48">
        <f t="shared" ref="AF86:AF96" si="168">0.05*V86*V86+0.14*X86*X86+0.038*Y86*Y86-0.068*V86*W86-0.0515*V86*X86+0.07*V86*Y86+0.136*W86*X86+0.076*W86*Y86+0.207*X86*Y86-0.1*V86*V86*W86-0.08*V86*V86*X86-0.048*V86*V86*Y86+0.068*W86*W86*V86-0.136*W86*W86*X86-0.076*W86*W86*Y86-0.27*X86*X86*V86-0.28*X86*X86*W86-0.13*X86*X86*Y86-0.048*Y86*Y86*V86-0.076*Y86*Y86*W86-0.13*Y86*Y86*X86+0.103*V86*W86*X86-0.14*V86*W86*Y86-0.353*V86*X86*Y86-0.414*W86*X86*Y86</f>
        <v>-7.9151725863900371E-4</v>
      </c>
      <c r="AG86" s="48">
        <f t="shared" ref="AG86:AG96" si="169">11622*V86*V86+25759*X86*X86+41249*Y86*Y86-11344*V86*W86+31326.5*V86*X86+45841*V86*Y86+132228*W86*X86+82498*W86*Y86+88610.5*X86*Y86-23244*V86*V86*W86+2608*V86*V86*X86-3234*V86*V86*Y86+11344*W86*W86*V86-132228*W86*W86*X86-82498*W86*W86*Y86-39864*X86*X86*V86-51518*X86*X86*W86-2850*X86*X86*Y86-3234*Y86*Y86*V86-82498*Y86*Y86*W86-2850*Y86*Y86*X86-62653*V86*W86*X86-91682*V86*W86*Y86-24712*V86*X86*Y86-177221*W86*X86*Y86</f>
        <v>7029.4214347563557</v>
      </c>
      <c r="AH86" s="33"/>
      <c r="AI86" s="48">
        <f t="shared" ref="AI86:AI96" si="170">0.337*V86*V86-18.983*W86*W86-9.5725*V86*W86-19.34*V86*X86-4.6665*V86*Y86-25.746*W86*X86-38.938*W86*Y86+11.006*V86*V86*W86-0.674*V86*V86*X86-11.986*W86*W86*V86+37.966*W86*W86*X86+46.02*W86*W86*Y86+19.34*X86*X86*V86+25.746*X86*X86*W86+46.02*Y86*Y86*W86+19.145*V86*W86*X86+45.53*V86*W86*Y86+9.333*V86*X86*Y86+77.876*W86*X86*Y86</f>
        <v>-2.8599359346259878</v>
      </c>
      <c r="AJ86" s="48">
        <f t="shared" ref="AJ86:AJ96" si="171">0.04*V86*V86+0.068*W86*W86+0.065*Y86*Y86-0.0515*V86*W86+0.27*V86*X86+0.1765*V86*Y86+0.28*W86*X86+0.207*W86*Y86+0.13*X86*Y86-0.1*V86*V86*W86-0.08*V86*V86*X86-0.048*V86*V86*Y86+0.068*W86*W86*V86-0.136*W86*W86*X86-0.076*W86*W86*Y86-0.27*X86*X86*V86-0.28*X86*X86*W86-0.13*X86*X86*Y86-0.048*Y86*Y86*V86-0.076*Y86*Y86*W86-0.13*Y86*Y86*X86+0.103*V86*W86*X86-0.14*V86*W86*Y86-0.353*V86*X86*Y86-0.414*W86*X86*Y86</f>
        <v>3.1868476653437824E-2</v>
      </c>
      <c r="AK86" s="48">
        <f t="shared" ref="AK86:AK96" si="172">-1304*V86*V86+66114*W86*W86+1425*Y86*Y86+31326.5*V86*W86+39864*V86*X86+12356*V86*Y86+51518*W86*X86+88610.5*W86*Y86+2850*X86*Y86-23244*V86*V86*W86+2608*V86*V86*X86-3234*V86*V86*Y86+11344*W86*W86*V86-132228*W86*W86*X86-82498*W86*W86*Y86-39864*X86*X86*V86-51518*X86*X86*W86-2850*X86*X86*Y86-3234*Y86*Y86*V86-82498*Y86*Y86*W86-2850*Y86*Y86*X86-62653*V86*W86*X86-91682*V86*W86*Y86-24712*V86*X86*Y86-177221*W86*X86*Y86</f>
        <v>7215.3430316388476</v>
      </c>
      <c r="AL86" s="33"/>
      <c r="AM86" s="33"/>
      <c r="AN86" s="48">
        <f t="shared" ref="AN86:AN96" si="173">L86*0.884/(L86*0.884+M86+N86+O86)</f>
        <v>0.26461058638405222</v>
      </c>
      <c r="AO86" s="48">
        <f t="shared" ref="AO86:AO96" si="174">M86/(L86*0.884+M86+N86+O86)</f>
        <v>0.32507343590699206</v>
      </c>
      <c r="AP86" s="48">
        <f t="shared" ref="AP86:AP96" si="175">N86/(L86*0.884+M86+N86+O86)</f>
        <v>0.37033496252750375</v>
      </c>
      <c r="AQ86" s="48">
        <f t="shared" ref="AQ86:AQ96" si="176">O86/(L86*0.884+M86+N86+O86)</f>
        <v>3.9981015181451994E-2</v>
      </c>
      <c r="AR86" s="33"/>
      <c r="AS86" s="48"/>
      <c r="AT86" s="33">
        <f t="shared" ref="AT86:AT96" si="177">40198+(0.295-(AB86-AF86))*H86-(AC86-AG86)+22998*(AO86-AN86)+245559*AP86+310990*AQ86</f>
        <v>155286.42048681391</v>
      </c>
      <c r="AU86" s="33">
        <f t="shared" ref="AU86:AU96" si="178">7.802+3*8.3144*LN((V86/W86)/(AN86/AO86))+(AA86-AE86)+17.396*(AO86-AN86)+280.396*AP86+370.39*AQ86</f>
        <v>162.96761009038329</v>
      </c>
      <c r="AV86" s="35">
        <f t="shared" ref="AV86:AV96" si="179">AT86/AU86-273.15</f>
        <v>679.71677150564255</v>
      </c>
      <c r="AW86" s="33"/>
      <c r="AX86" s="35"/>
      <c r="AY86" s="33"/>
      <c r="AZ86" s="33"/>
      <c r="BA86" s="33"/>
      <c r="BB86" s="49"/>
      <c r="BD86" s="33"/>
      <c r="BE86" s="36"/>
      <c r="BF86" s="36"/>
      <c r="BG86" s="33"/>
      <c r="BH86" s="33"/>
      <c r="BI86" s="38"/>
    </row>
    <row r="87" spans="2:61" x14ac:dyDescent="0.55000000000000004">
      <c r="B87" s="37"/>
      <c r="C87" s="135" t="s">
        <v>326</v>
      </c>
      <c r="D87" s="158" t="s">
        <v>248</v>
      </c>
      <c r="E87" t="s">
        <v>314</v>
      </c>
      <c r="F87" s="179" t="s">
        <v>274</v>
      </c>
      <c r="H87" s="32">
        <v>9690</v>
      </c>
      <c r="J87" s="94">
        <f t="shared" si="159"/>
        <v>682.45839793963569</v>
      </c>
      <c r="K87" s="35"/>
      <c r="L87" s="127">
        <v>2.3241428571428568</v>
      </c>
      <c r="M87" s="23">
        <v>2.524</v>
      </c>
      <c r="N87" s="127">
        <v>2.8754285714285714</v>
      </c>
      <c r="O87" s="127">
        <v>0.31042857142857144</v>
      </c>
      <c r="P87" s="33"/>
      <c r="Q87" s="23">
        <v>1.9630000000000001</v>
      </c>
      <c r="R87" s="23">
        <v>0.621</v>
      </c>
      <c r="S87" s="23">
        <v>0.41599999999999998</v>
      </c>
      <c r="T87" s="23">
        <v>7.1999999999999995E-2</v>
      </c>
      <c r="U87" s="33"/>
      <c r="V87" s="48">
        <f t="shared" si="160"/>
        <v>0.6319417478950321</v>
      </c>
      <c r="W87" s="33">
        <f t="shared" si="161"/>
        <v>0.20609934585859793</v>
      </c>
      <c r="X87" s="48">
        <f t="shared" si="162"/>
        <v>0.13806332991493839</v>
      </c>
      <c r="Y87" s="48">
        <f t="shared" si="163"/>
        <v>2.3895576331431644E-2</v>
      </c>
      <c r="Z87" s="48"/>
      <c r="AA87" s="48">
        <f t="shared" si="164"/>
        <v>9.9142792205767771E-3</v>
      </c>
      <c r="AB87" s="48">
        <f t="shared" si="165"/>
        <v>5.1353562667934794E-3</v>
      </c>
      <c r="AC87" s="48">
        <f t="shared" si="166"/>
        <v>-487.31884357242473</v>
      </c>
      <c r="AD87" s="48"/>
      <c r="AE87" s="48">
        <f t="shared" si="167"/>
        <v>-1.7952007697439294</v>
      </c>
      <c r="AF87" s="48">
        <f t="shared" si="168"/>
        <v>-9.0585139600614394E-4</v>
      </c>
      <c r="AG87" s="48">
        <f t="shared" si="169"/>
        <v>6931.0628937124211</v>
      </c>
      <c r="AH87" s="33"/>
      <c r="AI87" s="48">
        <f t="shared" si="170"/>
        <v>-2.8864968926954022</v>
      </c>
      <c r="AJ87" s="48">
        <f t="shared" si="171"/>
        <v>3.1631945280436842E-2</v>
      </c>
      <c r="AK87" s="48">
        <f t="shared" si="172"/>
        <v>7310.9831213322495</v>
      </c>
      <c r="AL87" s="33"/>
      <c r="AM87" s="33"/>
      <c r="AN87" s="48">
        <f t="shared" si="173"/>
        <v>0.26461058638405222</v>
      </c>
      <c r="AO87" s="48">
        <f t="shared" si="174"/>
        <v>0.32507343590699206</v>
      </c>
      <c r="AP87" s="48">
        <f t="shared" si="175"/>
        <v>0.37033496252750375</v>
      </c>
      <c r="AQ87" s="48">
        <f t="shared" si="176"/>
        <v>3.9981015181451994E-2</v>
      </c>
      <c r="AR87" s="33"/>
      <c r="AS87" s="48"/>
      <c r="AT87" s="33">
        <f t="shared" si="177"/>
        <v>155179.69602293195</v>
      </c>
      <c r="AU87" s="33">
        <f t="shared" si="178"/>
        <v>162.3883761983582</v>
      </c>
      <c r="AV87" s="35">
        <f t="shared" si="179"/>
        <v>682.45839793963569</v>
      </c>
      <c r="AW87" s="33"/>
      <c r="AX87" s="35"/>
      <c r="AY87" s="33"/>
      <c r="AZ87" s="33"/>
      <c r="BA87" s="33"/>
      <c r="BB87" s="49"/>
      <c r="BD87" s="33"/>
      <c r="BE87" s="36"/>
      <c r="BF87" s="36"/>
      <c r="BG87" s="33"/>
      <c r="BH87" s="33"/>
      <c r="BI87" s="38"/>
    </row>
    <row r="88" spans="2:61" x14ac:dyDescent="0.55000000000000004">
      <c r="B88" s="37"/>
      <c r="C88" s="135" t="s">
        <v>327</v>
      </c>
      <c r="D88" s="158" t="s">
        <v>248</v>
      </c>
      <c r="E88" t="s">
        <v>315</v>
      </c>
      <c r="F88" s="179" t="s">
        <v>273</v>
      </c>
      <c r="H88" s="32">
        <v>9690</v>
      </c>
      <c r="J88" s="94">
        <f t="shared" si="159"/>
        <v>683.31657029426844</v>
      </c>
      <c r="K88" s="35"/>
      <c r="L88" s="127">
        <v>2.3241428571428568</v>
      </c>
      <c r="M88" s="23">
        <v>2.524</v>
      </c>
      <c r="N88" s="127">
        <v>2.8754285714285714</v>
      </c>
      <c r="O88" s="127">
        <v>0.31042857142857144</v>
      </c>
      <c r="P88" s="33"/>
      <c r="Q88" s="23">
        <v>1.968</v>
      </c>
      <c r="R88" s="23">
        <v>0.626</v>
      </c>
      <c r="S88" s="23">
        <v>0.42</v>
      </c>
      <c r="T88" s="23">
        <v>7.1999999999999995E-2</v>
      </c>
      <c r="U88" s="33"/>
      <c r="V88" s="48">
        <f t="shared" si="160"/>
        <v>0.63065253587758019</v>
      </c>
      <c r="W88" s="33">
        <f t="shared" si="161"/>
        <v>0.2068081507519095</v>
      </c>
      <c r="X88" s="48">
        <f t="shared" si="162"/>
        <v>0.13875307238946005</v>
      </c>
      <c r="Y88" s="48">
        <f t="shared" si="163"/>
        <v>2.3786240981050293E-2</v>
      </c>
      <c r="Z88" s="48"/>
      <c r="AA88" s="48">
        <f t="shared" si="164"/>
        <v>1.1510043273518018E-2</v>
      </c>
      <c r="AB88" s="48">
        <f t="shared" si="165"/>
        <v>5.1495089804668905E-3</v>
      </c>
      <c r="AC88" s="48">
        <f t="shared" si="166"/>
        <v>-494.15172112705682</v>
      </c>
      <c r="AD88" s="48"/>
      <c r="AE88" s="48">
        <f t="shared" si="167"/>
        <v>-1.7898285500862146</v>
      </c>
      <c r="AF88" s="48">
        <f t="shared" si="168"/>
        <v>-9.8360185848815509E-4</v>
      </c>
      <c r="AG88" s="48">
        <f t="shared" si="169"/>
        <v>6930.2371176825827</v>
      </c>
      <c r="AH88" s="33"/>
      <c r="AI88" s="48">
        <f t="shared" si="170"/>
        <v>-2.8991230976264464</v>
      </c>
      <c r="AJ88" s="48">
        <f t="shared" si="171"/>
        <v>3.1672282103660097E-2</v>
      </c>
      <c r="AK88" s="48">
        <f t="shared" si="172"/>
        <v>7339.5493196375146</v>
      </c>
      <c r="AL88" s="33"/>
      <c r="AM88" s="33"/>
      <c r="AN88" s="48">
        <f t="shared" si="173"/>
        <v>0.26461058638405222</v>
      </c>
      <c r="AO88" s="48">
        <f t="shared" si="174"/>
        <v>0.32507343590699206</v>
      </c>
      <c r="AP88" s="48">
        <f t="shared" si="175"/>
        <v>0.37033496252750375</v>
      </c>
      <c r="AQ88" s="48">
        <f t="shared" si="176"/>
        <v>3.9981015181451994E-2</v>
      </c>
      <c r="AR88" s="33"/>
      <c r="AS88" s="48"/>
      <c r="AT88" s="33">
        <f t="shared" si="177"/>
        <v>155184.81258267979</v>
      </c>
      <c r="AU88" s="33">
        <f t="shared" si="178"/>
        <v>162.24802560003255</v>
      </c>
      <c r="AV88" s="35">
        <f t="shared" si="179"/>
        <v>683.31657029426844</v>
      </c>
      <c r="AW88" s="33"/>
      <c r="AX88" s="35"/>
      <c r="AY88" s="33"/>
      <c r="AZ88" s="33"/>
      <c r="BA88" s="33"/>
      <c r="BB88" s="49"/>
      <c r="BD88" s="33"/>
      <c r="BE88" s="36"/>
      <c r="BF88" s="36"/>
      <c r="BG88" s="33"/>
      <c r="BH88" s="33"/>
      <c r="BI88" s="38"/>
    </row>
    <row r="89" spans="2:61" x14ac:dyDescent="0.55000000000000004">
      <c r="B89" s="37"/>
      <c r="C89" s="135" t="s">
        <v>328</v>
      </c>
      <c r="D89" s="158" t="s">
        <v>248</v>
      </c>
      <c r="E89" t="s">
        <v>316</v>
      </c>
      <c r="F89" s="179" t="s">
        <v>272</v>
      </c>
      <c r="H89" s="32">
        <v>9690</v>
      </c>
      <c r="J89" s="94">
        <f t="shared" si="159"/>
        <v>683.37211682243094</v>
      </c>
      <c r="K89" s="35"/>
      <c r="L89" s="127">
        <v>2.3241428571428568</v>
      </c>
      <c r="M89" s="23">
        <v>2.524</v>
      </c>
      <c r="N89" s="127">
        <v>2.8754285714285714</v>
      </c>
      <c r="O89" s="127">
        <v>0.31042857142857144</v>
      </c>
      <c r="P89" s="33"/>
      <c r="Q89" s="23">
        <v>1.972</v>
      </c>
      <c r="R89" s="23">
        <v>0.629</v>
      </c>
      <c r="S89" s="23">
        <v>0.41399999999999998</v>
      </c>
      <c r="T89" s="23">
        <v>7.0999999999999994E-2</v>
      </c>
      <c r="U89" s="33"/>
      <c r="V89" s="48">
        <f t="shared" si="160"/>
        <v>0.63195940320598376</v>
      </c>
      <c r="W89" s="33">
        <f t="shared" si="161"/>
        <v>0.20780748239087629</v>
      </c>
      <c r="X89" s="48">
        <f t="shared" si="162"/>
        <v>0.13677630796474211</v>
      </c>
      <c r="Y89" s="48">
        <f t="shared" si="163"/>
        <v>2.3456806438397797E-2</v>
      </c>
      <c r="Z89" s="48"/>
      <c r="AA89" s="48">
        <f t="shared" si="164"/>
        <v>2.1097292187238631E-3</v>
      </c>
      <c r="AB89" s="48">
        <f t="shared" si="165"/>
        <v>5.1841378807120581E-3</v>
      </c>
      <c r="AC89" s="48">
        <f t="shared" si="166"/>
        <v>-474.20731645000967</v>
      </c>
      <c r="AD89" s="48"/>
      <c r="AE89" s="48">
        <f t="shared" si="167"/>
        <v>-1.7610597371107422</v>
      </c>
      <c r="AF89" s="48">
        <f t="shared" si="168"/>
        <v>-9.2439423588454393E-4</v>
      </c>
      <c r="AG89" s="48">
        <f t="shared" si="169"/>
        <v>6856.8243553769507</v>
      </c>
      <c r="AH89" s="33"/>
      <c r="AI89" s="48">
        <f t="shared" si="170"/>
        <v>-2.8953961854368142</v>
      </c>
      <c r="AJ89" s="48">
        <f t="shared" si="171"/>
        <v>3.1433732947834109E-2</v>
      </c>
      <c r="AK89" s="48">
        <f t="shared" si="172"/>
        <v>7351.7315277868611</v>
      </c>
      <c r="AL89" s="33"/>
      <c r="AM89" s="33"/>
      <c r="AN89" s="48">
        <f t="shared" si="173"/>
        <v>0.26461058638405222</v>
      </c>
      <c r="AO89" s="48">
        <f t="shared" si="174"/>
        <v>0.32507343590699206</v>
      </c>
      <c r="AP89" s="48">
        <f t="shared" si="175"/>
        <v>0.37033496252750375</v>
      </c>
      <c r="AQ89" s="48">
        <f t="shared" si="176"/>
        <v>3.9981015181451994E-2</v>
      </c>
      <c r="AR89" s="33"/>
      <c r="AS89" s="48"/>
      <c r="AT89" s="33">
        <f t="shared" si="177"/>
        <v>155091.69358351675</v>
      </c>
      <c r="AU89" s="33">
        <f t="shared" si="178"/>
        <v>162.14125199606653</v>
      </c>
      <c r="AV89" s="35">
        <f t="shared" si="179"/>
        <v>683.37211682243094</v>
      </c>
      <c r="AW89" s="33"/>
      <c r="AX89" s="35"/>
      <c r="AY89" s="33"/>
      <c r="AZ89" s="33"/>
      <c r="BA89" s="33"/>
      <c r="BB89" s="49"/>
      <c r="BD89" s="33"/>
      <c r="BE89" s="36"/>
      <c r="BF89" s="36"/>
      <c r="BG89" s="33"/>
      <c r="BH89" s="33"/>
      <c r="BI89" s="38"/>
    </row>
    <row r="90" spans="2:61" x14ac:dyDescent="0.55000000000000004">
      <c r="B90" s="37"/>
      <c r="C90" s="135" t="s">
        <v>329</v>
      </c>
      <c r="D90" s="158" t="s">
        <v>248</v>
      </c>
      <c r="E90" t="s">
        <v>317</v>
      </c>
      <c r="F90" s="179" t="s">
        <v>271</v>
      </c>
      <c r="H90" s="32">
        <v>9690</v>
      </c>
      <c r="J90" s="94">
        <f t="shared" si="159"/>
        <v>684.37206060828339</v>
      </c>
      <c r="K90" s="35"/>
      <c r="L90" s="127">
        <v>2.3241428571428568</v>
      </c>
      <c r="M90" s="23">
        <v>2.524</v>
      </c>
      <c r="N90" s="127">
        <v>2.8754285714285714</v>
      </c>
      <c r="O90" s="127">
        <v>0.31042857142857144</v>
      </c>
      <c r="P90" s="33"/>
      <c r="Q90" s="23">
        <v>1.968</v>
      </c>
      <c r="R90" s="23">
        <v>0.63400000000000001</v>
      </c>
      <c r="S90" s="23">
        <v>0.40500000000000003</v>
      </c>
      <c r="T90" s="23">
        <v>7.0999999999999994E-2</v>
      </c>
      <c r="U90" s="33"/>
      <c r="V90" s="48">
        <f t="shared" si="160"/>
        <v>0.63232371412671906</v>
      </c>
      <c r="W90" s="33">
        <f t="shared" si="161"/>
        <v>0.21000609481410815</v>
      </c>
      <c r="X90" s="48">
        <f t="shared" si="162"/>
        <v>0.13415215835917005</v>
      </c>
      <c r="Y90" s="48">
        <f t="shared" si="163"/>
        <v>2.3518032700002644E-2</v>
      </c>
      <c r="Z90" s="48"/>
      <c r="AA90" s="48">
        <f t="shared" si="164"/>
        <v>-8.6034211025287216E-3</v>
      </c>
      <c r="AB90" s="48">
        <f t="shared" si="165"/>
        <v>5.2459653834495846E-3</v>
      </c>
      <c r="AC90" s="48">
        <f t="shared" si="166"/>
        <v>-452.57011115929561</v>
      </c>
      <c r="AD90" s="48"/>
      <c r="AE90" s="48">
        <f t="shared" si="167"/>
        <v>-1.7210425395904621</v>
      </c>
      <c r="AF90" s="48">
        <f t="shared" si="168"/>
        <v>-8.9359485964004681E-4</v>
      </c>
      <c r="AG90" s="48">
        <f t="shared" si="169"/>
        <v>6754.7205324700035</v>
      </c>
      <c r="AH90" s="33"/>
      <c r="AI90" s="48">
        <f t="shared" si="170"/>
        <v>-2.8989207945122839</v>
      </c>
      <c r="AJ90" s="48">
        <f t="shared" si="171"/>
        <v>3.1110270414769745E-2</v>
      </c>
      <c r="AK90" s="48">
        <f t="shared" si="172"/>
        <v>7395.0107028852317</v>
      </c>
      <c r="AL90" s="33"/>
      <c r="AM90" s="33"/>
      <c r="AN90" s="48">
        <f t="shared" si="173"/>
        <v>0.26461058638405222</v>
      </c>
      <c r="AO90" s="48">
        <f t="shared" si="174"/>
        <v>0.32507343590699206</v>
      </c>
      <c r="AP90" s="48">
        <f t="shared" si="175"/>
        <v>0.37033496252750375</v>
      </c>
      <c r="AQ90" s="48">
        <f t="shared" si="176"/>
        <v>3.9981015181451994E-2</v>
      </c>
      <c r="AR90" s="33"/>
      <c r="AS90" s="48"/>
      <c r="AT90" s="33">
        <f t="shared" si="177"/>
        <v>154967.6518927734</v>
      </c>
      <c r="AU90" s="33">
        <f t="shared" si="178"/>
        <v>161.84238282126614</v>
      </c>
      <c r="AV90" s="35">
        <f t="shared" si="179"/>
        <v>684.37206060828339</v>
      </c>
      <c r="AW90" s="33"/>
      <c r="AX90" s="35"/>
      <c r="AY90" s="33"/>
      <c r="AZ90" s="33"/>
      <c r="BA90" s="33"/>
      <c r="BB90" s="49"/>
      <c r="BD90" s="33"/>
      <c r="BE90" s="36"/>
      <c r="BF90" s="36"/>
      <c r="BG90" s="33"/>
      <c r="BH90" s="33"/>
      <c r="BI90" s="38"/>
    </row>
    <row r="91" spans="2:61" x14ac:dyDescent="0.55000000000000004">
      <c r="B91" s="37"/>
      <c r="C91" s="135" t="s">
        <v>330</v>
      </c>
      <c r="D91" s="158" t="s">
        <v>248</v>
      </c>
      <c r="E91" t="s">
        <v>318</v>
      </c>
      <c r="F91" s="179" t="s">
        <v>270</v>
      </c>
      <c r="H91" s="32">
        <v>9690</v>
      </c>
      <c r="J91" s="94">
        <f t="shared" si="159"/>
        <v>685.38489655535352</v>
      </c>
      <c r="K91" s="35"/>
      <c r="L91" s="127">
        <v>2.3241428571428568</v>
      </c>
      <c r="M91" s="23">
        <v>2.524</v>
      </c>
      <c r="N91" s="127">
        <v>2.8754285714285714</v>
      </c>
      <c r="O91" s="127">
        <v>0.31042857142857144</v>
      </c>
      <c r="P91" s="33"/>
      <c r="Q91" s="23">
        <v>1.9670000000000001</v>
      </c>
      <c r="R91" s="23">
        <v>0.63700000000000001</v>
      </c>
      <c r="S91" s="23">
        <v>0.40899999999999997</v>
      </c>
      <c r="T91" s="23">
        <v>7.5999999999999998E-2</v>
      </c>
      <c r="U91" s="33"/>
      <c r="V91" s="48">
        <f t="shared" si="160"/>
        <v>0.62970174819058811</v>
      </c>
      <c r="W91" s="33">
        <f t="shared" si="161"/>
        <v>0.21023171693635953</v>
      </c>
      <c r="X91" s="48">
        <f t="shared" si="162"/>
        <v>0.13498394384139881</v>
      </c>
      <c r="Y91" s="48">
        <f t="shared" si="163"/>
        <v>2.5082591031653566E-2</v>
      </c>
      <c r="Z91" s="48"/>
      <c r="AA91" s="48">
        <f t="shared" si="164"/>
        <v>2.0458972459998503E-3</v>
      </c>
      <c r="AB91" s="48">
        <f t="shared" si="165"/>
        <v>5.233675709230075E-3</v>
      </c>
      <c r="AC91" s="48">
        <f t="shared" si="166"/>
        <v>-473.5895351376044</v>
      </c>
      <c r="AD91" s="48"/>
      <c r="AE91" s="48">
        <f t="shared" si="167"/>
        <v>-1.7489045828212362</v>
      </c>
      <c r="AF91" s="48">
        <f t="shared" si="168"/>
        <v>-9.5208767743601192E-4</v>
      </c>
      <c r="AG91" s="48">
        <f t="shared" si="169"/>
        <v>6809.964249230833</v>
      </c>
      <c r="AH91" s="33"/>
      <c r="AI91" s="48">
        <f t="shared" si="170"/>
        <v>-2.9055747972942556</v>
      </c>
      <c r="AJ91" s="48">
        <f t="shared" si="171"/>
        <v>3.1264507312318217E-2</v>
      </c>
      <c r="AK91" s="48">
        <f t="shared" si="172"/>
        <v>7409.3081282826179</v>
      </c>
      <c r="AL91" s="33"/>
      <c r="AM91" s="33"/>
      <c r="AN91" s="48">
        <f t="shared" si="173"/>
        <v>0.26461058638405222</v>
      </c>
      <c r="AO91" s="48">
        <f t="shared" si="174"/>
        <v>0.32507343590699206</v>
      </c>
      <c r="AP91" s="48">
        <f t="shared" si="175"/>
        <v>0.37033496252750375</v>
      </c>
      <c r="AQ91" s="48">
        <f t="shared" si="176"/>
        <v>3.9981015181451994E-2</v>
      </c>
      <c r="AR91" s="33"/>
      <c r="AS91" s="48"/>
      <c r="AT91" s="33">
        <f t="shared" si="177"/>
        <v>155043.46732505126</v>
      </c>
      <c r="AU91" s="33">
        <f t="shared" si="178"/>
        <v>161.75046717884183</v>
      </c>
      <c r="AV91" s="35">
        <f t="shared" si="179"/>
        <v>685.38489655535352</v>
      </c>
      <c r="AW91" s="33"/>
      <c r="AX91" s="35"/>
      <c r="AY91" s="33"/>
      <c r="AZ91" s="33"/>
      <c r="BA91" s="33"/>
      <c r="BB91" s="49"/>
      <c r="BD91" s="33"/>
      <c r="BE91" s="36"/>
      <c r="BF91" s="36"/>
      <c r="BG91" s="33"/>
      <c r="BH91" s="33"/>
      <c r="BI91" s="38"/>
    </row>
    <row r="92" spans="2:61" x14ac:dyDescent="0.55000000000000004">
      <c r="B92" s="37"/>
      <c r="C92" s="135" t="s">
        <v>331</v>
      </c>
      <c r="D92" s="158" t="s">
        <v>248</v>
      </c>
      <c r="E92" t="s">
        <v>319</v>
      </c>
      <c r="F92" s="179" t="s">
        <v>269</v>
      </c>
      <c r="H92" s="32">
        <v>9690</v>
      </c>
      <c r="J92" s="94">
        <f t="shared" si="159"/>
        <v>684.17369282690959</v>
      </c>
      <c r="K92" s="35"/>
      <c r="L92" s="127">
        <v>2.3241428571428568</v>
      </c>
      <c r="M92" s="23">
        <v>2.524</v>
      </c>
      <c r="N92" s="127">
        <v>2.8754285714285714</v>
      </c>
      <c r="O92" s="127">
        <v>0.31042857142857144</v>
      </c>
      <c r="P92" s="33"/>
      <c r="Q92" s="23">
        <v>1.964</v>
      </c>
      <c r="R92" s="23">
        <v>0.63100000000000001</v>
      </c>
      <c r="S92" s="23">
        <v>0.40799999999999997</v>
      </c>
      <c r="T92" s="23">
        <v>7.0999999999999994E-2</v>
      </c>
      <c r="U92" s="33"/>
      <c r="V92" s="48">
        <f t="shared" si="160"/>
        <v>0.63185056449580101</v>
      </c>
      <c r="W92" s="33">
        <f t="shared" si="161"/>
        <v>0.20928134576860313</v>
      </c>
      <c r="X92" s="48">
        <f t="shared" si="162"/>
        <v>0.13531979250965145</v>
      </c>
      <c r="Y92" s="48">
        <f t="shared" si="163"/>
        <v>2.3548297225944249E-2</v>
      </c>
      <c r="Z92" s="48"/>
      <c r="AA92" s="48">
        <f t="shared" si="164"/>
        <v>-3.687000696223533E-3</v>
      </c>
      <c r="AB92" s="48">
        <f t="shared" si="165"/>
        <v>5.2237701180192463E-3</v>
      </c>
      <c r="AC92" s="48">
        <f t="shared" si="166"/>
        <v>-463.10012577431564</v>
      </c>
      <c r="AD92" s="48"/>
      <c r="AE92" s="48">
        <f t="shared" si="167"/>
        <v>-1.7369686739493071</v>
      </c>
      <c r="AF92" s="48">
        <f t="shared" si="168"/>
        <v>-9.2081764867915248E-4</v>
      </c>
      <c r="AG92" s="48">
        <f t="shared" si="169"/>
        <v>6796.7635712046049</v>
      </c>
      <c r="AH92" s="33"/>
      <c r="AI92" s="48">
        <f t="shared" si="170"/>
        <v>-2.8999644781021079</v>
      </c>
      <c r="AJ92" s="48">
        <f t="shared" si="171"/>
        <v>3.1250150732736993E-2</v>
      </c>
      <c r="AK92" s="48">
        <f t="shared" si="172"/>
        <v>7383.5948402165068</v>
      </c>
      <c r="AL92" s="33"/>
      <c r="AM92" s="33"/>
      <c r="AN92" s="48">
        <f t="shared" si="173"/>
        <v>0.26461058638405222</v>
      </c>
      <c r="AO92" s="48">
        <f t="shared" si="174"/>
        <v>0.32507343590699206</v>
      </c>
      <c r="AP92" s="48">
        <f t="shared" si="175"/>
        <v>0.37033496252750375</v>
      </c>
      <c r="AQ92" s="48">
        <f t="shared" si="176"/>
        <v>3.9981015181451994E-2</v>
      </c>
      <c r="AR92" s="33"/>
      <c r="AS92" s="48"/>
      <c r="AT92" s="33">
        <f t="shared" si="177"/>
        <v>155020.17622941924</v>
      </c>
      <c r="AU92" s="33">
        <f t="shared" si="178"/>
        <v>161.93078411300525</v>
      </c>
      <c r="AV92" s="35">
        <f t="shared" si="179"/>
        <v>684.17369282690959</v>
      </c>
      <c r="AW92" s="33"/>
      <c r="AX92" s="35"/>
      <c r="AY92" s="33"/>
      <c r="AZ92" s="33"/>
      <c r="BA92" s="33"/>
      <c r="BB92" s="49"/>
      <c r="BD92" s="33"/>
      <c r="BE92" s="36"/>
      <c r="BF92" s="36"/>
      <c r="BG92" s="33"/>
      <c r="BH92" s="33"/>
      <c r="BI92" s="38"/>
    </row>
    <row r="93" spans="2:61" x14ac:dyDescent="0.55000000000000004">
      <c r="B93" s="37"/>
      <c r="C93" s="135" t="s">
        <v>332</v>
      </c>
      <c r="D93" s="158" t="s">
        <v>248</v>
      </c>
      <c r="E93" t="s">
        <v>320</v>
      </c>
      <c r="F93" s="179" t="s">
        <v>268</v>
      </c>
      <c r="H93" s="32">
        <v>9690</v>
      </c>
      <c r="J93" s="94">
        <f t="shared" si="159"/>
        <v>686.83031066334706</v>
      </c>
      <c r="K93" s="35"/>
      <c r="L93" s="127">
        <v>2.3241428571428568</v>
      </c>
      <c r="M93" s="23">
        <v>2.524</v>
      </c>
      <c r="N93" s="127">
        <v>2.8754285714285714</v>
      </c>
      <c r="O93" s="127">
        <v>0.31042857142857144</v>
      </c>
      <c r="P93" s="33"/>
      <c r="Q93" s="23">
        <v>1.9690000000000001</v>
      </c>
      <c r="R93" s="23">
        <v>0.64700000000000002</v>
      </c>
      <c r="S93" s="23">
        <v>0.4</v>
      </c>
      <c r="T93" s="23">
        <v>7.0999999999999994E-2</v>
      </c>
      <c r="U93" s="33"/>
      <c r="V93" s="48">
        <f t="shared" si="160"/>
        <v>0.63077085665784871</v>
      </c>
      <c r="W93" s="33">
        <f t="shared" si="161"/>
        <v>0.21367733071768499</v>
      </c>
      <c r="X93" s="48">
        <f t="shared" si="162"/>
        <v>0.1321034502118609</v>
      </c>
      <c r="Y93" s="48">
        <f t="shared" si="163"/>
        <v>2.3448362412605304E-2</v>
      </c>
      <c r="Z93" s="48"/>
      <c r="AA93" s="48">
        <f t="shared" si="164"/>
        <v>-1.8903558298989681E-2</v>
      </c>
      <c r="AB93" s="48">
        <f t="shared" si="165"/>
        <v>5.3405104927708247E-3</v>
      </c>
      <c r="AC93" s="48">
        <f t="shared" si="166"/>
        <v>-437.00603922494344</v>
      </c>
      <c r="AD93" s="48"/>
      <c r="AE93" s="48">
        <f t="shared" si="167"/>
        <v>-1.6663452207693665</v>
      </c>
      <c r="AF93" s="48">
        <f t="shared" si="168"/>
        <v>-9.7676171716242063E-4</v>
      </c>
      <c r="AG93" s="48">
        <f t="shared" si="169"/>
        <v>6633.6040568645458</v>
      </c>
      <c r="AH93" s="33"/>
      <c r="AI93" s="48">
        <f t="shared" si="170"/>
        <v>-2.923053914447344</v>
      </c>
      <c r="AJ93" s="48">
        <f t="shared" si="171"/>
        <v>3.0792249170696583E-2</v>
      </c>
      <c r="AK93" s="48">
        <f t="shared" si="172"/>
        <v>7491.9854674102717</v>
      </c>
      <c r="AL93" s="33"/>
      <c r="AM93" s="33"/>
      <c r="AN93" s="48">
        <f t="shared" si="173"/>
        <v>0.26461058638405222</v>
      </c>
      <c r="AO93" s="48">
        <f t="shared" si="174"/>
        <v>0.32507343590699206</v>
      </c>
      <c r="AP93" s="48">
        <f t="shared" si="175"/>
        <v>0.37033496252750375</v>
      </c>
      <c r="AQ93" s="48">
        <f t="shared" si="176"/>
        <v>3.9981015181451994E-2</v>
      </c>
      <c r="AR93" s="33"/>
      <c r="AS93" s="48"/>
      <c r="AT93" s="33">
        <f t="shared" si="177"/>
        <v>154829.24931627486</v>
      </c>
      <c r="AU93" s="33">
        <f t="shared" si="178"/>
        <v>161.28377592378718</v>
      </c>
      <c r="AV93" s="35">
        <f t="shared" si="179"/>
        <v>686.83031066334706</v>
      </c>
      <c r="AW93" s="33"/>
      <c r="AX93" s="35"/>
      <c r="AY93" s="33"/>
      <c r="AZ93" s="33"/>
      <c r="BA93" s="33"/>
      <c r="BB93" s="49"/>
      <c r="BD93" s="33"/>
      <c r="BE93" s="36"/>
      <c r="BF93" s="36"/>
      <c r="BG93" s="33"/>
      <c r="BH93" s="33"/>
      <c r="BI93" s="38"/>
    </row>
    <row r="94" spans="2:61" x14ac:dyDescent="0.55000000000000004">
      <c r="B94" s="37"/>
      <c r="C94" s="135" t="s">
        <v>333</v>
      </c>
      <c r="D94" s="158" t="s">
        <v>248</v>
      </c>
      <c r="E94" t="s">
        <v>321</v>
      </c>
      <c r="F94" s="179" t="s">
        <v>267</v>
      </c>
      <c r="H94" s="32">
        <v>9690</v>
      </c>
      <c r="J94" s="94">
        <f t="shared" si="159"/>
        <v>687.33201400812834</v>
      </c>
      <c r="K94" s="35"/>
      <c r="L94" s="127">
        <v>2.3241428571428568</v>
      </c>
      <c r="M94" s="23">
        <v>2.524</v>
      </c>
      <c r="N94" s="127">
        <v>2.8754285714285714</v>
      </c>
      <c r="O94" s="127">
        <v>0.31042857142857144</v>
      </c>
      <c r="P94" s="33"/>
      <c r="Q94" s="23">
        <v>1.9610000000000001</v>
      </c>
      <c r="R94" s="23">
        <v>0.64600000000000002</v>
      </c>
      <c r="S94" s="23">
        <v>0.39900000000000002</v>
      </c>
      <c r="T94" s="23">
        <v>7.5999999999999998E-2</v>
      </c>
      <c r="U94" s="33"/>
      <c r="V94" s="48">
        <f t="shared" si="160"/>
        <v>0.62919716721190011</v>
      </c>
      <c r="W94" s="33">
        <f t="shared" si="161"/>
        <v>0.21368298838636268</v>
      </c>
      <c r="X94" s="48">
        <f t="shared" si="162"/>
        <v>0.1319806692974593</v>
      </c>
      <c r="Y94" s="48">
        <f t="shared" si="163"/>
        <v>2.5139175104277961E-2</v>
      </c>
      <c r="Z94" s="48"/>
      <c r="AA94" s="48">
        <f t="shared" si="164"/>
        <v>-1.0890213176230672E-2</v>
      </c>
      <c r="AB94" s="48">
        <f t="shared" si="165"/>
        <v>5.3261523930201371E-3</v>
      </c>
      <c r="AC94" s="48">
        <f t="shared" si="166"/>
        <v>-449.66438467897109</v>
      </c>
      <c r="AD94" s="48"/>
      <c r="AE94" s="48">
        <f t="shared" si="167"/>
        <v>-1.692558398694606</v>
      </c>
      <c r="AF94" s="48">
        <f t="shared" si="168"/>
        <v>-9.6909842397376988E-4</v>
      </c>
      <c r="AG94" s="48">
        <f t="shared" si="169"/>
        <v>6674.0431146717074</v>
      </c>
      <c r="AH94" s="33"/>
      <c r="AI94" s="48">
        <f t="shared" si="170"/>
        <v>-2.9200503168338581</v>
      </c>
      <c r="AJ94" s="48">
        <f t="shared" si="171"/>
        <v>3.0865585694328776E-2</v>
      </c>
      <c r="AK94" s="48">
        <f t="shared" si="172"/>
        <v>7490.1345889964487</v>
      </c>
      <c r="AL94" s="33"/>
      <c r="AM94" s="33"/>
      <c r="AN94" s="48">
        <f t="shared" si="173"/>
        <v>0.26461058638405222</v>
      </c>
      <c r="AO94" s="48">
        <f t="shared" si="174"/>
        <v>0.32507343590699206</v>
      </c>
      <c r="AP94" s="48">
        <f t="shared" si="175"/>
        <v>0.37033496252750375</v>
      </c>
      <c r="AQ94" s="48">
        <f t="shared" si="176"/>
        <v>3.9981015181451994E-2</v>
      </c>
      <c r="AR94" s="33"/>
      <c r="AS94" s="48"/>
      <c r="AT94" s="33">
        <f t="shared" si="177"/>
        <v>154882.56010683364</v>
      </c>
      <c r="AU94" s="33">
        <f t="shared" si="178"/>
        <v>161.25503429314909</v>
      </c>
      <c r="AV94" s="35">
        <f t="shared" si="179"/>
        <v>687.33201400812834</v>
      </c>
      <c r="AW94" s="33"/>
      <c r="AX94" s="35"/>
      <c r="AY94" s="33"/>
      <c r="AZ94" s="33"/>
      <c r="BA94" s="33"/>
      <c r="BB94" s="49"/>
      <c r="BD94" s="33"/>
      <c r="BE94" s="36"/>
      <c r="BF94" s="36"/>
      <c r="BG94" s="33"/>
      <c r="BH94" s="33"/>
      <c r="BI94" s="38"/>
    </row>
    <row r="95" spans="2:61" x14ac:dyDescent="0.55000000000000004">
      <c r="B95" s="37"/>
      <c r="C95" s="135" t="s">
        <v>334</v>
      </c>
      <c r="D95" s="158" t="s">
        <v>248</v>
      </c>
      <c r="E95" t="s">
        <v>322</v>
      </c>
      <c r="F95" s="179" t="s">
        <v>266</v>
      </c>
      <c r="H95" s="32">
        <v>9690</v>
      </c>
      <c r="J95" s="94">
        <f t="shared" si="159"/>
        <v>686.34602167717276</v>
      </c>
      <c r="K95" s="35"/>
      <c r="L95" s="127">
        <v>2.3241428571428568</v>
      </c>
      <c r="M95" s="23">
        <v>2.524</v>
      </c>
      <c r="N95" s="127">
        <v>2.8754285714285714</v>
      </c>
      <c r="O95" s="127">
        <v>0.31042857142857144</v>
      </c>
      <c r="P95" s="33"/>
      <c r="Q95" s="23">
        <v>1.9630000000000001</v>
      </c>
      <c r="R95" s="23">
        <v>0.64</v>
      </c>
      <c r="S95" s="23">
        <v>0.41199999999999998</v>
      </c>
      <c r="T95" s="23">
        <v>7.0999999999999994E-2</v>
      </c>
      <c r="U95" s="33"/>
      <c r="V95" s="48">
        <f t="shared" si="160"/>
        <v>0.62901909742295459</v>
      </c>
      <c r="W95" s="33">
        <f t="shared" si="161"/>
        <v>0.21142277617926009</v>
      </c>
      <c r="X95" s="48">
        <f t="shared" si="162"/>
        <v>0.13610341216539867</v>
      </c>
      <c r="Y95" s="48">
        <f t="shared" si="163"/>
        <v>2.3454714232386664E-2</v>
      </c>
      <c r="Z95" s="48"/>
      <c r="AA95" s="48">
        <f t="shared" si="164"/>
        <v>-2.4723724129515345E-3</v>
      </c>
      <c r="AB95" s="48">
        <f t="shared" si="165"/>
        <v>5.2699349708284927E-3</v>
      </c>
      <c r="AC95" s="48">
        <f t="shared" si="166"/>
        <v>-473.23518661020353</v>
      </c>
      <c r="AD95" s="48"/>
      <c r="AE95" s="48">
        <f t="shared" si="167"/>
        <v>-1.7168481615800568</v>
      </c>
      <c r="AF95" s="48">
        <f t="shared" si="168"/>
        <v>-1.079708873963523E-3</v>
      </c>
      <c r="AG95" s="48">
        <f t="shared" si="169"/>
        <v>6771.1081422542875</v>
      </c>
      <c r="AH95" s="33"/>
      <c r="AI95" s="48">
        <f t="shared" si="170"/>
        <v>-2.9287618811568796</v>
      </c>
      <c r="AJ95" s="48">
        <f t="shared" si="171"/>
        <v>3.1261850927088441E-2</v>
      </c>
      <c r="AK95" s="48">
        <f t="shared" si="172"/>
        <v>7458.6158658105696</v>
      </c>
      <c r="AL95" s="33"/>
      <c r="AM95" s="33"/>
      <c r="AN95" s="48">
        <f t="shared" si="173"/>
        <v>0.26461058638405222</v>
      </c>
      <c r="AO95" s="48">
        <f t="shared" si="174"/>
        <v>0.32507343590699206</v>
      </c>
      <c r="AP95" s="48">
        <f t="shared" si="175"/>
        <v>0.37033496252750375</v>
      </c>
      <c r="AQ95" s="48">
        <f t="shared" si="176"/>
        <v>3.9981015181451994E-2</v>
      </c>
      <c r="AR95" s="33"/>
      <c r="AS95" s="48"/>
      <c r="AT95" s="33">
        <f t="shared" si="177"/>
        <v>155002.66886790807</v>
      </c>
      <c r="AU95" s="33">
        <f t="shared" si="178"/>
        <v>161.5459213650179</v>
      </c>
      <c r="AV95" s="35">
        <f t="shared" si="179"/>
        <v>686.34602167717276</v>
      </c>
      <c r="AW95" s="33"/>
      <c r="AX95" s="35"/>
      <c r="AY95" s="33"/>
      <c r="AZ95" s="33"/>
      <c r="BA95" s="33"/>
      <c r="BB95" s="49"/>
      <c r="BD95" s="33"/>
      <c r="BE95" s="36"/>
      <c r="BF95" s="36"/>
      <c r="BG95" s="33"/>
      <c r="BH95" s="33"/>
      <c r="BI95" s="38"/>
    </row>
    <row r="96" spans="2:61" x14ac:dyDescent="0.55000000000000004">
      <c r="B96" s="37"/>
      <c r="C96" s="135" t="s">
        <v>335</v>
      </c>
      <c r="D96" s="158" t="s">
        <v>248</v>
      </c>
      <c r="E96" t="s">
        <v>323</v>
      </c>
      <c r="F96" s="179" t="s">
        <v>324</v>
      </c>
      <c r="H96" s="32">
        <v>9690</v>
      </c>
      <c r="J96" s="94">
        <f t="shared" si="159"/>
        <v>687.7164119108885</v>
      </c>
      <c r="K96" s="35"/>
      <c r="L96" s="127">
        <v>2.3241428571428568</v>
      </c>
      <c r="M96" s="23">
        <v>2.524</v>
      </c>
      <c r="N96" s="127">
        <v>2.8754285714285714</v>
      </c>
      <c r="O96" s="127">
        <v>0.31042857142857144</v>
      </c>
      <c r="P96" s="33"/>
      <c r="Q96" s="23">
        <v>1.962</v>
      </c>
      <c r="R96" s="23">
        <v>0.64900000000000002</v>
      </c>
      <c r="S96" s="23">
        <v>0.39800000000000002</v>
      </c>
      <c r="T96" s="23">
        <v>7.0999999999999994E-2</v>
      </c>
      <c r="U96" s="33"/>
      <c r="V96" s="48">
        <f t="shared" si="160"/>
        <v>0.62994101564310157</v>
      </c>
      <c r="W96" s="33">
        <f t="shared" si="161"/>
        <v>0.21481957142006</v>
      </c>
      <c r="X96" s="48">
        <f t="shared" si="162"/>
        <v>0.13173835042401214</v>
      </c>
      <c r="Y96" s="48">
        <f t="shared" si="163"/>
        <v>2.3501062512826281E-2</v>
      </c>
      <c r="Z96" s="48"/>
      <c r="AA96" s="48">
        <f t="shared" si="164"/>
        <v>-2.0731927605243207E-2</v>
      </c>
      <c r="AB96" s="48">
        <f t="shared" si="165"/>
        <v>5.3679467479578252E-3</v>
      </c>
      <c r="AC96" s="48">
        <f t="shared" si="166"/>
        <v>-435.38428253159407</v>
      </c>
      <c r="AD96" s="48"/>
      <c r="AE96" s="48">
        <f t="shared" si="167"/>
        <v>-1.6523522403173858</v>
      </c>
      <c r="AF96" s="48">
        <f t="shared" si="168"/>
        <v>-1.0178068326110407E-3</v>
      </c>
      <c r="AG96" s="48">
        <f t="shared" si="169"/>
        <v>6604.2711193739888</v>
      </c>
      <c r="AH96" s="33"/>
      <c r="AI96" s="48">
        <f t="shared" si="170"/>
        <v>-2.932676327069621</v>
      </c>
      <c r="AJ96" s="48">
        <f t="shared" si="171"/>
        <v>3.072527557194198E-2</v>
      </c>
      <c r="AK96" s="48">
        <f t="shared" si="172"/>
        <v>7525.2183582965226</v>
      </c>
      <c r="AL96" s="33"/>
      <c r="AM96" s="33"/>
      <c r="AN96" s="48">
        <f t="shared" si="173"/>
        <v>0.26461058638405222</v>
      </c>
      <c r="AO96" s="48">
        <f t="shared" si="174"/>
        <v>0.32507343590699206</v>
      </c>
      <c r="AP96" s="48">
        <f t="shared" si="175"/>
        <v>0.37033496252750375</v>
      </c>
      <c r="AQ96" s="48">
        <f t="shared" si="176"/>
        <v>3.9981015181451994E-2</v>
      </c>
      <c r="AR96" s="33"/>
      <c r="AS96" s="48"/>
      <c r="AT96" s="33">
        <f t="shared" si="177"/>
        <v>154797.63103760951</v>
      </c>
      <c r="AU96" s="33">
        <f t="shared" si="178"/>
        <v>161.1021356545925</v>
      </c>
      <c r="AV96" s="35">
        <f t="shared" si="179"/>
        <v>687.7164119108885</v>
      </c>
      <c r="AW96" s="33"/>
      <c r="AX96" s="35"/>
      <c r="AY96" s="33"/>
      <c r="AZ96" s="33"/>
      <c r="BA96" s="33"/>
      <c r="BB96" s="49"/>
      <c r="BD96" s="33"/>
      <c r="BE96" s="36"/>
      <c r="BF96" s="36"/>
      <c r="BG96" s="33"/>
      <c r="BH96" s="33"/>
      <c r="BI96" s="38"/>
    </row>
    <row r="97" spans="1:61" s="88" customFormat="1" x14ac:dyDescent="0.55000000000000004">
      <c r="C97" s="135"/>
      <c r="D97" s="141"/>
      <c r="E97" s="135"/>
      <c r="F97" s="141"/>
      <c r="H97" s="168"/>
      <c r="I97" s="88" t="s">
        <v>59</v>
      </c>
      <c r="J97" s="153">
        <f>AVERAGE(J86:J96)</f>
        <v>684.63811498291454</v>
      </c>
      <c r="K97" s="104"/>
      <c r="L97" s="169"/>
      <c r="M97" s="169"/>
      <c r="N97" s="169"/>
      <c r="O97" s="169"/>
      <c r="P97" s="103"/>
      <c r="Q97" s="169"/>
      <c r="R97" s="169"/>
      <c r="S97" s="169"/>
      <c r="T97" s="169"/>
      <c r="U97" s="103"/>
      <c r="V97" s="105"/>
      <c r="W97" s="103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3"/>
      <c r="AI97" s="105"/>
      <c r="AJ97" s="105"/>
      <c r="AK97" s="105"/>
      <c r="AL97" s="103"/>
      <c r="AM97" s="103"/>
      <c r="AN97" s="105"/>
      <c r="AO97" s="105"/>
      <c r="AP97" s="105"/>
      <c r="AQ97" s="105"/>
      <c r="AR97" s="103"/>
      <c r="AS97" s="105"/>
      <c r="AT97" s="103"/>
      <c r="AU97" s="103"/>
      <c r="AV97" s="104"/>
      <c r="AW97" s="103"/>
      <c r="AX97" s="104"/>
      <c r="AY97" s="103"/>
      <c r="AZ97" s="103"/>
      <c r="BA97" s="103"/>
      <c r="BB97" s="106"/>
      <c r="BD97" s="103"/>
      <c r="BE97" s="107"/>
      <c r="BF97" s="107"/>
      <c r="BG97" s="103"/>
      <c r="BH97" s="103"/>
      <c r="BI97" s="108"/>
    </row>
    <row r="98" spans="1:61" s="109" customFormat="1" x14ac:dyDescent="0.55000000000000004">
      <c r="B98" s="142"/>
      <c r="D98" s="142"/>
      <c r="F98" s="142"/>
      <c r="H98" s="40"/>
      <c r="J98" s="154"/>
      <c r="K98" s="111"/>
      <c r="L98" s="96"/>
      <c r="M98" s="96"/>
      <c r="N98" s="96"/>
      <c r="O98" s="96"/>
      <c r="P98" s="110"/>
      <c r="Q98" s="96"/>
      <c r="R98" s="96"/>
      <c r="S98" s="96"/>
      <c r="T98" s="96"/>
      <c r="U98" s="110"/>
      <c r="V98" s="112"/>
      <c r="W98" s="110"/>
      <c r="X98" s="112"/>
      <c r="Y98" s="112"/>
      <c r="Z98" s="112"/>
      <c r="AA98" s="112"/>
      <c r="AB98" s="112"/>
      <c r="AC98" s="112"/>
      <c r="AD98" s="112"/>
      <c r="AE98" s="112"/>
      <c r="AF98" s="112"/>
      <c r="AG98" s="112"/>
      <c r="AH98" s="110"/>
      <c r="AI98" s="112"/>
      <c r="AJ98" s="112"/>
      <c r="AK98" s="112"/>
      <c r="AL98" s="110"/>
      <c r="AM98" s="110"/>
      <c r="AN98" s="112"/>
      <c r="AO98" s="112"/>
      <c r="AP98" s="112"/>
      <c r="AQ98" s="112"/>
      <c r="AR98" s="110"/>
      <c r="AS98" s="112"/>
      <c r="AT98" s="110"/>
      <c r="AU98" s="110"/>
      <c r="AV98" s="111"/>
      <c r="AW98" s="110"/>
      <c r="AX98" s="111"/>
      <c r="AY98" s="110"/>
      <c r="AZ98" s="110"/>
      <c r="BA98" s="110"/>
      <c r="BB98" s="113"/>
      <c r="BD98" s="110"/>
      <c r="BE98" s="114"/>
      <c r="BF98" s="114"/>
      <c r="BG98" s="110"/>
      <c r="BH98" s="110"/>
      <c r="BI98" s="115"/>
    </row>
    <row r="99" spans="1:61" x14ac:dyDescent="0.55000000000000004">
      <c r="H99" s="23"/>
      <c r="J99" s="19"/>
      <c r="L99" s="23"/>
      <c r="M99" s="23"/>
      <c r="N99" s="23"/>
      <c r="O99" s="23"/>
      <c r="Q99" s="23"/>
      <c r="R99" s="23"/>
      <c r="S99" s="23"/>
      <c r="T99" s="23"/>
    </row>
    <row r="100" spans="1:61" x14ac:dyDescent="0.55000000000000004">
      <c r="A100" s="37" t="s">
        <v>190</v>
      </c>
      <c r="B100" s="47" t="s">
        <v>204</v>
      </c>
      <c r="C100" s="135" t="s">
        <v>191</v>
      </c>
      <c r="D100" s="158" t="s">
        <v>206</v>
      </c>
      <c r="E100" s="9" t="s">
        <v>348</v>
      </c>
      <c r="F100" s="158" t="s">
        <v>362</v>
      </c>
      <c r="H100" s="32">
        <v>7200</v>
      </c>
      <c r="J100" s="94">
        <f t="shared" ref="J100:J110" si="180">AV100</f>
        <v>571.41574382208273</v>
      </c>
      <c r="K100" s="35"/>
      <c r="L100" s="23">
        <v>1.5840000000000001</v>
      </c>
      <c r="M100" s="23">
        <v>2.734</v>
      </c>
      <c r="N100" s="23">
        <v>3.5019999999999998</v>
      </c>
      <c r="O100" s="23">
        <v>0.24399999999999999</v>
      </c>
      <c r="P100" s="33"/>
      <c r="Q100" s="23">
        <v>2.222</v>
      </c>
      <c r="R100" s="23">
        <v>0.47399999999999998</v>
      </c>
      <c r="S100" s="23">
        <v>7.2999999999999995E-2</v>
      </c>
      <c r="T100" s="23">
        <v>0.317</v>
      </c>
      <c r="U100" s="33"/>
      <c r="V100" s="48">
        <f t="shared" ref="V100:V109" si="181">Q100*0.97/(Q100*0.97+R100+S100+T100)</f>
        <v>0.71384474752760529</v>
      </c>
      <c r="W100" s="33">
        <f t="shared" ref="W100:W109" si="182">R100/(Q100*0.97+R100+S100+T100)</f>
        <v>0.15698795100916094</v>
      </c>
      <c r="X100" s="48">
        <f t="shared" ref="X100:X109" si="183">S100/(Q100*0.97+R100+S100+T100)</f>
        <v>2.4177469248246302E-2</v>
      </c>
      <c r="Y100" s="48">
        <f t="shared" ref="Y100:Y109" si="184">T100/(Q100*0.97+R100+S100+T100)</f>
        <v>0.10498983221498738</v>
      </c>
      <c r="Z100" s="48"/>
      <c r="AA100" s="48">
        <f t="shared" ref="AA100:AA109" si="185">5.993*W100*W100-9.67*X100*X100-11.006*V100*W100+0.674*V100*X100-9.5725*W100*X100-22.765*W100*Y100-4.6665*X100*Y100+11.006*V100*V100*W100-0.674*V100*V100*X100-11.986*W100*W100*V100+37.966*W100*W100*X100+46.02*W100*W100*Y100+19.34*X100*X100*V100+25.746*X100*X100*W100+46.02*Y100*Y100*W100+19.145*V100*W100*X100+45.53*V100*W100*Y100+9.333*V100*X100*Y100+77.876*W100*X100*Y100</f>
        <v>2.5448602173402939E-2</v>
      </c>
      <c r="AB100" s="48">
        <f t="shared" ref="AB100:AB109" si="186">-0.034*W100*W100+0.135*X100*X100+0.024*Y100*Y100+0.1*V100*W100+0.08*V100*X100+0.048*V100*Y100-0.0515*W100*X100+0.07*W100*Y100+0.1765*X100*Y100-0.1*V100*V100*W100-0.08*V100*V100*X100-0.048*V100*V100*Y100+0.068*W100*W100*V100-0.136*W100*W100*X100-0.076*W100*W100*Y100-0.27*X100*X100*V100-0.28*X100*X100*W100-0.13*X100*X100*Y100-0.048*Y100*Y100*V100-0.076*Y100*Y100*W100-0.13*Y100*Y100*X100+0.103*V100*W100*X100-0.14*V100*W100*Y100-0.353*V100*X100*Y100-0.414*W100*X100*Y100</f>
        <v>3.5988447754286977E-3</v>
      </c>
      <c r="AC100" s="48">
        <f t="shared" ref="AC100:AC109" si="187">-5672*W100*W100+19932*X100*X100+1617*Y100*Y100+23244*V100*W100-2608*V100*X100+3234*V100*Y100+31326.5*W100*X100+45841*W100*Y100+12356*X100*Y100-23244*V100*V100*W100+2608*V100*V100*X100-3234*V100*V100*Y100+11344*W100*W100*V100-132228*W100*W100*X100-82498*W100*W100*Y100-39864*X100*X100*V100-51518*X100*X100*W100-2850*X100*X100*Y100-3234*Y100*Y100*V100-82498*Y100*Y100*W100-2850*Y100*Y100*X100-62653*V100*W100*X100-91682*V100*W100*Y100-24712*V100*X100*Y100-177221*W100*X100*Y100</f>
        <v>-49.6621729190853</v>
      </c>
      <c r="AD100" s="48"/>
      <c r="AE100" s="48">
        <f t="shared" ref="AE100:AE109" si="188">-5.503*V100*V100-12.873*X100*X100-23.01*Y100*Y100+11.986*V100*W100-9.5725*V100*X100-22.765*V100*Y100-37.966*W100*X100-46.02*W100*Y100-38.938*X100*Y100+11.006*V100*V100*W100-0.674*V100*V100*X100-11.986*W100*W100*V100+37.966*W100*W100*X100+46.02*W100*W100*Y100+19.34*X100*X100*V100+25.746*X100*X100*W100+46.02*Y100*Y100*W100+19.145*V100*W100*X100+45.53*V100*W100*Y100+9.333*V100*X100*Y100+77.876*W100*X100*Y100</f>
        <v>-3.0664027905328619</v>
      </c>
      <c r="AF100" s="48">
        <f t="shared" ref="AF100:AF109" si="189">0.05*V100*V100+0.14*X100*X100+0.038*Y100*Y100-0.068*V100*W100-0.0515*V100*X100+0.07*V100*Y100+0.136*W100*X100+0.076*W100*Y100+0.207*X100*Y100-0.1*V100*V100*W100-0.08*V100*V100*X100-0.048*V100*V100*Y100+0.068*W100*W100*V100-0.136*W100*W100*X100-0.076*W100*W100*Y100-0.27*X100*X100*V100-0.28*X100*X100*W100-0.13*X100*X100*Y100-0.048*Y100*Y100*V100-0.076*Y100*Y100*W100-0.13*Y100*Y100*X100+0.103*V100*W100*X100-0.14*V100*W100*Y100-0.353*V100*X100*Y100-0.414*W100*X100*Y100</f>
        <v>1.1513068937281547E-2</v>
      </c>
      <c r="AG100" s="48">
        <f t="shared" ref="AG100:AG109" si="190">11622*V100*V100+25759*X100*X100+41249*Y100*Y100-11344*V100*W100+31326.5*V100*X100+45841*V100*Y100+132228*W100*X100+82498*W100*Y100+88610.5*X100*Y100-23244*V100*V100*W100+2608*V100*V100*X100-3234*V100*V100*Y100+11344*W100*W100*V100-132228*W100*W100*X100-82498*W100*W100*Y100-39864*X100*X100*V100-51518*X100*X100*W100-2850*X100*X100*Y100-3234*Y100*Y100*V100-82498*Y100*Y100*W100-2850*Y100*Y100*X100-62653*V100*W100*X100-91682*V100*W100*Y100-24712*V100*X100*Y100-177221*W100*X100*Y100</f>
        <v>7536.2028597479684</v>
      </c>
      <c r="AH100" s="33"/>
      <c r="AI100" s="48">
        <f t="shared" ref="AI100:AI109" si="191">0.337*V100*V100-18.983*W100*W100-9.5725*V100*W100-19.34*V100*X100-4.6665*V100*Y100-25.746*W100*X100-38.938*W100*Y100+11.006*V100*V100*W100-0.674*V100*V100*X100-11.986*W100*W100*V100+37.966*W100*W100*X100+46.02*W100*W100*Y100+19.34*X100*X100*V100+25.746*X100*X100*W100+46.02*Y100*Y100*W100+19.145*V100*W100*X100+45.53*V100*W100*Y100+9.333*V100*X100*Y100+77.876*W100*X100*Y100</f>
        <v>-1.2633322631265058</v>
      </c>
      <c r="AJ100" s="48">
        <f t="shared" ref="AJ100:AJ109" si="192">0.04*V100*V100+0.068*W100*W100+0.065*Y100*Y100-0.0515*V100*W100+0.27*V100*X100+0.1765*V100*Y100+0.28*W100*X100+0.207*W100*Y100+0.13*X100*Y100-0.1*V100*V100*W100-0.08*V100*V100*X100-0.048*V100*V100*Y100+0.068*W100*W100*V100-0.136*W100*W100*X100-0.076*W100*W100*Y100-0.27*X100*X100*V100-0.28*X100*X100*W100-0.13*X100*X100*Y100-0.048*Y100*Y100*V100-0.076*Y100*Y100*W100-0.13*Y100*Y100*X100+0.103*V100*W100*X100-0.14*V100*W100*Y100-0.353*V100*X100*Y100-0.414*W100*X100*Y100</f>
        <v>2.6198871563312503E-2</v>
      </c>
      <c r="AK100" s="48">
        <f t="shared" ref="AK100:AK109" si="193">-1304*V100*V100+66114*W100*W100+1425*Y100*Y100+31326.5*V100*W100+39864*V100*X100+12356*V100*Y100+51518*W100*X100+88610.5*W100*Y100+2850*X100*Y100-23244*V100*V100*W100+2608*V100*V100*X100-3234*V100*V100*Y100+11344*W100*W100*V100-132228*W100*W100*X100-82498*W100*W100*Y100-39864*X100*X100*V100-51518*X100*X100*W100-2850*X100*X100*Y100-3234*Y100*Y100*V100-82498*Y100*Y100*W100-2850*Y100*Y100*X100-62653*V100*W100*X100-91682*V100*W100*Y100-24712*V100*X100*Y100-177221*W100*X100*Y100</f>
        <v>4121.1574971920363</v>
      </c>
      <c r="AL100" s="33"/>
      <c r="AM100" s="33"/>
      <c r="AN100" s="48">
        <f t="shared" ref="AN100:AN109" si="194">L100*0.884/(L100*0.884+M100+N100+O100)</f>
        <v>0.17769168920400558</v>
      </c>
      <c r="AO100" s="48">
        <f t="shared" ref="AO100:AO109" si="195">M100/(L100*0.884+M100+N100+O100)</f>
        <v>0.34694304347472976</v>
      </c>
      <c r="AP100" s="48">
        <f t="shared" ref="AP100:AP109" si="196">N100/(L100*0.884+M100+N100+O100)</f>
        <v>0.44440180623573644</v>
      </c>
      <c r="AQ100" s="48">
        <f t="shared" ref="AQ100:AQ109" si="197">O100/(L100*0.884+M100+N100+O100)</f>
        <v>3.0963461085528183E-2</v>
      </c>
      <c r="AR100" s="33"/>
      <c r="AS100" s="48"/>
      <c r="AT100" s="33">
        <f t="shared" ref="AT100:AT110" si="198">40198+(0.295-(AB100-AF100))*H100-(AC100-AG100)+22998*(AO100-AN100)+245559*AP100+310990*AQ100</f>
        <v>172613.47999258013</v>
      </c>
      <c r="AU100" s="33">
        <f t="shared" ref="AU100:AU110" si="199">7.802+3*8.3144*LN((V100/W100)/(AN100/AO100))+(AA100-AE100)+17.396*(AO100-AN100)+280.396*AP100+370.39*AQ100</f>
        <v>204.38134183778013</v>
      </c>
      <c r="AV100" s="35">
        <f t="shared" ref="AV100:AV109" si="200">AT100/AU100-273.15</f>
        <v>571.41574382208273</v>
      </c>
      <c r="AW100" s="33"/>
      <c r="AX100" s="35"/>
      <c r="AY100" s="33"/>
      <c r="AZ100" s="33"/>
      <c r="BA100" s="33"/>
      <c r="BB100" s="49"/>
      <c r="BD100" s="33"/>
      <c r="BE100" s="36"/>
      <c r="BF100" s="36"/>
      <c r="BG100" s="33"/>
      <c r="BH100" s="33"/>
      <c r="BI100" s="38"/>
    </row>
    <row r="101" spans="1:61" x14ac:dyDescent="0.55000000000000004">
      <c r="B101" s="37"/>
      <c r="C101" s="135" t="s">
        <v>192</v>
      </c>
      <c r="D101" s="158" t="s">
        <v>230</v>
      </c>
      <c r="E101" s="9" t="s">
        <v>349</v>
      </c>
      <c r="F101" s="158" t="s">
        <v>239</v>
      </c>
      <c r="H101" s="32">
        <v>7200</v>
      </c>
      <c r="J101" s="94">
        <f t="shared" si="180"/>
        <v>581.14847577311104</v>
      </c>
      <c r="K101" s="35"/>
      <c r="L101" s="23">
        <v>1.86</v>
      </c>
      <c r="M101" s="23">
        <v>3.0920000000000001</v>
      </c>
      <c r="N101" s="23">
        <v>3.327</v>
      </c>
      <c r="O101" s="23">
        <v>0.22500000000000001</v>
      </c>
      <c r="P101" s="33"/>
      <c r="Q101" s="23">
        <v>2.1869999999999998</v>
      </c>
      <c r="R101" s="23">
        <v>0.50600000000000001</v>
      </c>
      <c r="S101" s="23">
        <v>5.8000000000000003E-2</v>
      </c>
      <c r="T101" s="23">
        <v>0.312</v>
      </c>
      <c r="U101" s="33"/>
      <c r="V101" s="48">
        <f t="shared" si="181"/>
        <v>0.70774573879274971</v>
      </c>
      <c r="W101" s="33">
        <f t="shared" si="182"/>
        <v>0.16881353444163091</v>
      </c>
      <c r="X101" s="48">
        <f t="shared" si="183"/>
        <v>1.9350167979475478E-2</v>
      </c>
      <c r="Y101" s="48">
        <f t="shared" si="184"/>
        <v>0.10409055878614396</v>
      </c>
      <c r="Z101" s="48"/>
      <c r="AA101" s="48">
        <f t="shared" si="185"/>
        <v>1.769802474599437E-3</v>
      </c>
      <c r="AB101" s="48">
        <f t="shared" si="186"/>
        <v>3.8998364813880035E-3</v>
      </c>
      <c r="AC101" s="48">
        <f t="shared" si="187"/>
        <v>7.3017506066604838</v>
      </c>
      <c r="AD101" s="48"/>
      <c r="AE101" s="48">
        <f t="shared" si="188"/>
        <v>-2.8168139398394709</v>
      </c>
      <c r="AF101" s="48">
        <f t="shared" si="189"/>
        <v>1.0594569684918582E-2</v>
      </c>
      <c r="AG101" s="48">
        <f t="shared" si="190"/>
        <v>7020.4649217385777</v>
      </c>
      <c r="AH101" s="33"/>
      <c r="AI101" s="48">
        <f t="shared" si="191"/>
        <v>-1.3117948669455721</v>
      </c>
      <c r="AJ101" s="48">
        <f t="shared" si="192"/>
        <v>2.4600859365268398E-2</v>
      </c>
      <c r="AK101" s="48">
        <f t="shared" si="193"/>
        <v>4408.0308843087087</v>
      </c>
      <c r="AL101" s="33"/>
      <c r="AM101" s="33"/>
      <c r="AN101" s="48">
        <f t="shared" si="194"/>
        <v>0.19838228622723281</v>
      </c>
      <c r="AO101" s="48">
        <f t="shared" si="195"/>
        <v>0.37305869521152862</v>
      </c>
      <c r="AP101" s="48">
        <f t="shared" si="196"/>
        <v>0.40141212127061959</v>
      </c>
      <c r="AQ101" s="48">
        <f t="shared" si="197"/>
        <v>2.7146897290618997E-2</v>
      </c>
      <c r="AR101" s="33"/>
      <c r="AS101" s="48"/>
      <c r="AT101" s="33">
        <f t="shared" si="198"/>
        <v>160413.34597951986</v>
      </c>
      <c r="AU101" s="33">
        <f t="shared" si="199"/>
        <v>187.77201473331817</v>
      </c>
      <c r="AV101" s="35">
        <f t="shared" si="200"/>
        <v>581.14847577311104</v>
      </c>
      <c r="AW101" s="33"/>
      <c r="AX101" s="35"/>
      <c r="AY101" s="33"/>
      <c r="AZ101" s="33"/>
      <c r="BA101" s="33"/>
      <c r="BB101" s="49"/>
      <c r="BD101" s="33"/>
      <c r="BE101" s="36"/>
      <c r="BF101" s="36"/>
      <c r="BG101" s="33"/>
      <c r="BH101" s="33"/>
      <c r="BI101" s="38"/>
    </row>
    <row r="102" spans="1:61" x14ac:dyDescent="0.55000000000000004">
      <c r="B102" s="37"/>
      <c r="C102" s="135" t="s">
        <v>193</v>
      </c>
      <c r="D102" s="158" t="s">
        <v>231</v>
      </c>
      <c r="E102" s="9" t="s">
        <v>350</v>
      </c>
      <c r="F102" s="158" t="s">
        <v>240</v>
      </c>
      <c r="H102" s="32">
        <v>7200</v>
      </c>
      <c r="J102" s="94">
        <f t="shared" si="180"/>
        <v>580.59629330220002</v>
      </c>
      <c r="K102" s="35"/>
      <c r="L102" s="23">
        <v>1.915</v>
      </c>
      <c r="M102" s="23">
        <v>3.17</v>
      </c>
      <c r="N102" s="23">
        <v>3.4470000000000001</v>
      </c>
      <c r="O102" s="23">
        <v>0.22900000000000001</v>
      </c>
      <c r="P102" s="33"/>
      <c r="Q102" s="23">
        <v>2.1880000000000002</v>
      </c>
      <c r="R102" s="23">
        <v>0.5</v>
      </c>
      <c r="S102" s="23">
        <v>6.3E-2</v>
      </c>
      <c r="T102" s="23">
        <v>0.31</v>
      </c>
      <c r="U102" s="33"/>
      <c r="V102" s="48">
        <f t="shared" si="181"/>
        <v>0.70854922279792742</v>
      </c>
      <c r="W102" s="33">
        <f t="shared" si="182"/>
        <v>0.16692484375834624</v>
      </c>
      <c r="X102" s="48">
        <f t="shared" si="183"/>
        <v>2.1032530313551626E-2</v>
      </c>
      <c r="Y102" s="48">
        <f t="shared" si="184"/>
        <v>0.10349340313017466</v>
      </c>
      <c r="Z102" s="48"/>
      <c r="AA102" s="48">
        <f t="shared" si="185"/>
        <v>5.3982092175493754E-3</v>
      </c>
      <c r="AB102" s="48">
        <f t="shared" si="186"/>
        <v>3.8531562909937984E-3</v>
      </c>
      <c r="AC102" s="48">
        <f t="shared" si="187"/>
        <v>-5.2118557610913214</v>
      </c>
      <c r="AD102" s="48"/>
      <c r="AE102" s="48">
        <f t="shared" si="188"/>
        <v>-2.8509253771679486</v>
      </c>
      <c r="AF102" s="48">
        <f t="shared" si="189"/>
        <v>1.0666585339249515E-2</v>
      </c>
      <c r="AG102" s="48">
        <f t="shared" si="190"/>
        <v>7107.3566919013874</v>
      </c>
      <c r="AH102" s="33"/>
      <c r="AI102" s="48">
        <f t="shared" si="191"/>
        <v>-1.3139975481142308</v>
      </c>
      <c r="AJ102" s="48">
        <f t="shared" si="192"/>
        <v>2.4921606361957466E-2</v>
      </c>
      <c r="AK102" s="48">
        <f t="shared" si="193"/>
        <v>4376.3705259714607</v>
      </c>
      <c r="AL102" s="33"/>
      <c r="AM102" s="33"/>
      <c r="AN102" s="48">
        <f t="shared" si="194"/>
        <v>0.19825363104676738</v>
      </c>
      <c r="AO102" s="48">
        <f t="shared" si="195"/>
        <v>0.37124393654422255</v>
      </c>
      <c r="AP102" s="48">
        <f t="shared" si="196"/>
        <v>0.403683864122377</v>
      </c>
      <c r="AQ102" s="48">
        <f t="shared" si="197"/>
        <v>2.6818568286633114E-2</v>
      </c>
      <c r="AR102" s="33"/>
      <c r="AS102" s="48"/>
      <c r="AT102" s="33">
        <f t="shared" si="198"/>
        <v>160930.5688241272</v>
      </c>
      <c r="AU102" s="33">
        <f t="shared" si="199"/>
        <v>188.49928847323582</v>
      </c>
      <c r="AV102" s="35">
        <f t="shared" si="200"/>
        <v>580.59629330220002</v>
      </c>
      <c r="AW102" s="33"/>
      <c r="AX102" s="35"/>
      <c r="AY102" s="33"/>
      <c r="AZ102" s="33"/>
      <c r="BA102" s="33"/>
      <c r="BB102" s="49"/>
      <c r="BD102" s="33"/>
      <c r="BE102" s="36"/>
      <c r="BF102" s="36"/>
      <c r="BG102" s="33"/>
      <c r="BH102" s="33"/>
      <c r="BI102" s="38"/>
    </row>
    <row r="103" spans="1:61" x14ac:dyDescent="0.55000000000000004">
      <c r="B103" s="37"/>
      <c r="C103" s="135" t="s">
        <v>194</v>
      </c>
      <c r="D103" s="158" t="s">
        <v>232</v>
      </c>
      <c r="E103" s="9" t="s">
        <v>351</v>
      </c>
      <c r="F103" s="158" t="s">
        <v>241</v>
      </c>
      <c r="H103" s="32">
        <v>7200</v>
      </c>
      <c r="J103" s="94">
        <f t="shared" si="180"/>
        <v>576.10344116657438</v>
      </c>
      <c r="K103" s="35"/>
      <c r="L103" s="23">
        <v>1.859</v>
      </c>
      <c r="M103" s="23">
        <v>3.3540000000000001</v>
      </c>
      <c r="N103" s="23">
        <v>3.52</v>
      </c>
      <c r="O103" s="23">
        <v>0.20100000000000001</v>
      </c>
      <c r="P103" s="33"/>
      <c r="Q103" s="23">
        <v>2.1890000000000001</v>
      </c>
      <c r="R103" s="23">
        <v>0.52200000000000002</v>
      </c>
      <c r="S103" s="23">
        <v>6.3E-2</v>
      </c>
      <c r="T103" s="23">
        <v>0.309</v>
      </c>
      <c r="U103" s="33"/>
      <c r="V103" s="48">
        <f t="shared" si="181"/>
        <v>0.70371155955762199</v>
      </c>
      <c r="W103" s="33">
        <f t="shared" si="182"/>
        <v>0.17300063300997898</v>
      </c>
      <c r="X103" s="48">
        <f t="shared" si="183"/>
        <v>2.0879386742583671E-2</v>
      </c>
      <c r="Y103" s="48">
        <f t="shared" si="184"/>
        <v>0.10240842068981514</v>
      </c>
      <c r="Z103" s="48"/>
      <c r="AA103" s="48">
        <f t="shared" si="185"/>
        <v>-3.9254765970351997E-3</v>
      </c>
      <c r="AB103" s="48">
        <f t="shared" si="186"/>
        <v>4.0207453091039638E-3</v>
      </c>
      <c r="AC103" s="48">
        <f t="shared" si="187"/>
        <v>11.73072169081955</v>
      </c>
      <c r="AD103" s="48"/>
      <c r="AE103" s="48">
        <f t="shared" si="188"/>
        <v>-2.7310192429070068</v>
      </c>
      <c r="AF103" s="48">
        <f t="shared" si="189"/>
        <v>9.9972010260133328E-3</v>
      </c>
      <c r="AG103" s="48">
        <f t="shared" si="190"/>
        <v>6890.2481652905735</v>
      </c>
      <c r="AH103" s="33"/>
      <c r="AI103" s="48">
        <f t="shared" si="191"/>
        <v>-1.3711568629684219</v>
      </c>
      <c r="AJ103" s="48">
        <f t="shared" si="192"/>
        <v>2.438641450125659E-2</v>
      </c>
      <c r="AK103" s="48">
        <f t="shared" si="193"/>
        <v>4579.5309183669879</v>
      </c>
      <c r="AL103" s="33"/>
      <c r="AM103" s="33"/>
      <c r="AN103" s="48">
        <f t="shared" si="194"/>
        <v>0.1884937940134585</v>
      </c>
      <c r="AO103" s="48">
        <f t="shared" si="195"/>
        <v>0.38470555687333713</v>
      </c>
      <c r="AP103" s="48">
        <f t="shared" si="196"/>
        <v>0.40374584382651957</v>
      </c>
      <c r="AQ103" s="48">
        <f t="shared" si="197"/>
        <v>2.3054805286684785E-2</v>
      </c>
      <c r="AR103" s="33"/>
      <c r="AS103" s="48"/>
      <c r="AT103" s="33">
        <f t="shared" si="198"/>
        <v>160069.26560731541</v>
      </c>
      <c r="AU103" s="33">
        <f t="shared" si="199"/>
        <v>188.48232794610377</v>
      </c>
      <c r="AV103" s="35">
        <f t="shared" si="200"/>
        <v>576.10344116657438</v>
      </c>
      <c r="AW103" s="33"/>
      <c r="AX103" s="35"/>
      <c r="AY103" s="33"/>
      <c r="AZ103" s="33"/>
      <c r="BA103" s="33"/>
      <c r="BB103" s="49"/>
      <c r="BD103" s="33"/>
      <c r="BE103" s="36"/>
      <c r="BF103" s="36"/>
      <c r="BG103" s="33"/>
      <c r="BH103" s="33"/>
      <c r="BI103" s="38"/>
    </row>
    <row r="104" spans="1:61" x14ac:dyDescent="0.55000000000000004">
      <c r="B104" s="37"/>
      <c r="C104" s="135" t="s">
        <v>195</v>
      </c>
      <c r="D104" s="158" t="s">
        <v>232</v>
      </c>
      <c r="E104" s="9" t="s">
        <v>352</v>
      </c>
      <c r="F104" s="158" t="s">
        <v>242</v>
      </c>
      <c r="H104" s="32">
        <v>7200</v>
      </c>
      <c r="J104" s="94">
        <f t="shared" si="180"/>
        <v>573.31992498188276</v>
      </c>
      <c r="K104" s="35"/>
      <c r="L104" s="23">
        <v>1.855</v>
      </c>
      <c r="M104" s="23">
        <v>3.464</v>
      </c>
      <c r="N104" s="23">
        <v>3.4740000000000002</v>
      </c>
      <c r="O104" s="23">
        <v>0.17199999999999999</v>
      </c>
      <c r="P104" s="33"/>
      <c r="Q104" s="23">
        <v>2.1800000000000002</v>
      </c>
      <c r="R104" s="23">
        <v>0.52700000000000002</v>
      </c>
      <c r="S104" s="23">
        <v>5.2999999999999999E-2</v>
      </c>
      <c r="T104" s="23">
        <v>0.30499999999999999</v>
      </c>
      <c r="U104" s="33"/>
      <c r="V104" s="48">
        <f t="shared" si="181"/>
        <v>0.70496066142152281</v>
      </c>
      <c r="W104" s="33">
        <f t="shared" si="182"/>
        <v>0.17569009201226829</v>
      </c>
      <c r="X104" s="48">
        <f t="shared" si="183"/>
        <v>1.7669022536338175E-2</v>
      </c>
      <c r="Y104" s="48">
        <f t="shared" si="184"/>
        <v>0.10168022402987063</v>
      </c>
      <c r="Z104" s="48"/>
      <c r="AA104" s="48">
        <f t="shared" si="185"/>
        <v>-1.7243632742781553E-2</v>
      </c>
      <c r="AB104" s="48">
        <f t="shared" si="186"/>
        <v>4.0728244655415264E-3</v>
      </c>
      <c r="AC104" s="48">
        <f t="shared" si="187"/>
        <v>45.634361518016213</v>
      </c>
      <c r="AD104" s="48"/>
      <c r="AE104" s="48">
        <f t="shared" si="188"/>
        <v>-2.6528683318936701</v>
      </c>
      <c r="AF104" s="48">
        <f t="shared" si="189"/>
        <v>9.9925562554458291E-3</v>
      </c>
      <c r="AG104" s="48">
        <f t="shared" si="190"/>
        <v>6706.0306874667758</v>
      </c>
      <c r="AH104" s="33"/>
      <c r="AI104" s="48">
        <f t="shared" si="191"/>
        <v>-1.3546668253821839</v>
      </c>
      <c r="AJ104" s="48">
        <f t="shared" si="192"/>
        <v>2.3688322093966926E-2</v>
      </c>
      <c r="AK104" s="48">
        <f t="shared" si="193"/>
        <v>4598.7968645137025</v>
      </c>
      <c r="AL104" s="33"/>
      <c r="AM104" s="33"/>
      <c r="AN104" s="48">
        <f t="shared" si="194"/>
        <v>0.18741185532959537</v>
      </c>
      <c r="AO104" s="48">
        <f t="shared" si="195"/>
        <v>0.395893858387944</v>
      </c>
      <c r="AP104" s="48">
        <f t="shared" si="196"/>
        <v>0.3970367390414889</v>
      </c>
      <c r="AQ104" s="48">
        <f t="shared" si="197"/>
        <v>1.9657547240971813E-2</v>
      </c>
      <c r="AR104" s="33"/>
      <c r="AS104" s="48"/>
      <c r="AT104" s="33">
        <f t="shared" si="198"/>
        <v>157428.93271993077</v>
      </c>
      <c r="AU104" s="33">
        <f t="shared" si="199"/>
        <v>185.98290154644334</v>
      </c>
      <c r="AV104" s="35">
        <f t="shared" si="200"/>
        <v>573.31992498188276</v>
      </c>
      <c r="AW104" s="33"/>
      <c r="AX104" s="35"/>
      <c r="AY104" s="33"/>
      <c r="AZ104" s="33"/>
      <c r="BA104" s="33"/>
      <c r="BB104" s="49"/>
      <c r="BD104" s="33"/>
      <c r="BE104" s="36"/>
      <c r="BF104" s="36"/>
      <c r="BG104" s="33"/>
      <c r="BH104" s="33"/>
      <c r="BI104" s="38"/>
    </row>
    <row r="105" spans="1:61" x14ac:dyDescent="0.55000000000000004">
      <c r="B105" s="37"/>
      <c r="C105" s="135" t="s">
        <v>196</v>
      </c>
      <c r="D105" s="158" t="s">
        <v>232</v>
      </c>
      <c r="E105" s="9" t="s">
        <v>353</v>
      </c>
      <c r="F105" s="158" t="s">
        <v>243</v>
      </c>
      <c r="H105" s="32">
        <v>7200</v>
      </c>
      <c r="J105" s="94">
        <f t="shared" si="180"/>
        <v>574.38908196061698</v>
      </c>
      <c r="K105" s="35"/>
      <c r="L105" s="23">
        <v>1.837</v>
      </c>
      <c r="M105" s="23">
        <v>3.3759999999999999</v>
      </c>
      <c r="N105" s="23">
        <v>3.4039999999999999</v>
      </c>
      <c r="O105" s="23">
        <v>0.17199999999999999</v>
      </c>
      <c r="P105" s="33"/>
      <c r="Q105" s="23">
        <v>2.206</v>
      </c>
      <c r="R105" s="23">
        <v>0.53</v>
      </c>
      <c r="S105" s="23">
        <v>5.8000000000000003E-2</v>
      </c>
      <c r="T105" s="23">
        <v>0.30299999999999999</v>
      </c>
      <c r="U105" s="33"/>
      <c r="V105" s="48">
        <f t="shared" si="181"/>
        <v>0.70602015296190479</v>
      </c>
      <c r="W105" s="33">
        <f t="shared" si="182"/>
        <v>0.17487016714948433</v>
      </c>
      <c r="X105" s="48">
        <f t="shared" si="183"/>
        <v>1.9136735272962436E-2</v>
      </c>
      <c r="Y105" s="48">
        <f t="shared" si="184"/>
        <v>9.9972944615648582E-2</v>
      </c>
      <c r="Z105" s="48"/>
      <c r="AA105" s="48">
        <f t="shared" si="185"/>
        <v>-1.8937581706547933E-2</v>
      </c>
      <c r="AB105" s="48">
        <f t="shared" si="186"/>
        <v>4.0492973678490007E-3</v>
      </c>
      <c r="AC105" s="48">
        <f t="shared" si="187"/>
        <v>42.037302889253489</v>
      </c>
      <c r="AD105" s="48"/>
      <c r="AE105" s="48">
        <f t="shared" si="188"/>
        <v>-2.6501584465871728</v>
      </c>
      <c r="AF105" s="48">
        <f t="shared" si="189"/>
        <v>9.9792294871430126E-3</v>
      </c>
      <c r="AG105" s="48">
        <f t="shared" si="190"/>
        <v>6726.7878374566917</v>
      </c>
      <c r="AH105" s="33"/>
      <c r="AI105" s="48">
        <f t="shared" si="191"/>
        <v>-1.361906369973094</v>
      </c>
      <c r="AJ105" s="48">
        <f t="shared" si="192"/>
        <v>2.3815296334538216E-2</v>
      </c>
      <c r="AK105" s="48">
        <f t="shared" si="193"/>
        <v>4590.6722414085498</v>
      </c>
      <c r="AL105" s="33"/>
      <c r="AM105" s="33"/>
      <c r="AN105" s="48">
        <f t="shared" si="194"/>
        <v>0.18935697537800078</v>
      </c>
      <c r="AO105" s="48">
        <f t="shared" si="195"/>
        <v>0.39366093945970498</v>
      </c>
      <c r="AP105" s="48">
        <f t="shared" si="196"/>
        <v>0.39692589985806748</v>
      </c>
      <c r="AQ105" s="48">
        <f t="shared" si="197"/>
        <v>2.0056185304226676E-2</v>
      </c>
      <c r="AR105" s="33"/>
      <c r="AS105" s="48"/>
      <c r="AT105" s="33">
        <f t="shared" si="198"/>
        <v>157454.02872278602</v>
      </c>
      <c r="AU105" s="33">
        <f t="shared" si="199"/>
        <v>185.77789753193059</v>
      </c>
      <c r="AV105" s="35">
        <f t="shared" si="200"/>
        <v>574.38908196061698</v>
      </c>
      <c r="AW105" s="33"/>
      <c r="AX105" s="35"/>
      <c r="AY105" s="33"/>
      <c r="AZ105" s="33"/>
      <c r="BA105" s="33"/>
      <c r="BB105" s="49"/>
      <c r="BD105" s="33"/>
      <c r="BE105" s="36"/>
      <c r="BF105" s="36"/>
      <c r="BG105" s="33"/>
      <c r="BH105" s="33"/>
      <c r="BI105" s="38"/>
    </row>
    <row r="106" spans="1:61" x14ac:dyDescent="0.55000000000000004">
      <c r="B106" s="37"/>
      <c r="C106" s="135" t="s">
        <v>197</v>
      </c>
      <c r="D106" s="158" t="s">
        <v>232</v>
      </c>
      <c r="E106" s="9" t="s">
        <v>354</v>
      </c>
      <c r="F106" s="158" t="s">
        <v>244</v>
      </c>
      <c r="H106" s="32">
        <v>7200</v>
      </c>
      <c r="J106" s="94">
        <f t="shared" si="180"/>
        <v>573.60017188973063</v>
      </c>
      <c r="K106" s="35"/>
      <c r="L106" s="23">
        <v>1.8109999999999999</v>
      </c>
      <c r="M106" s="23">
        <v>3.3849999999999998</v>
      </c>
      <c r="N106" s="23">
        <v>3.4039999999999999</v>
      </c>
      <c r="O106" s="23">
        <v>0.16400000000000001</v>
      </c>
      <c r="P106" s="33"/>
      <c r="Q106" s="23">
        <v>2.1909999999999998</v>
      </c>
      <c r="R106" s="23">
        <v>0.53200000000000003</v>
      </c>
      <c r="S106" s="23">
        <v>5.8000000000000003E-2</v>
      </c>
      <c r="T106" s="23">
        <v>0.29499999999999998</v>
      </c>
      <c r="U106" s="33"/>
      <c r="V106" s="48">
        <f t="shared" si="181"/>
        <v>0.70600643796071449</v>
      </c>
      <c r="W106" s="33">
        <f t="shared" si="182"/>
        <v>0.17672833333886995</v>
      </c>
      <c r="X106" s="48">
        <f t="shared" si="183"/>
        <v>1.9267374687320409E-2</v>
      </c>
      <c r="Y106" s="48">
        <f t="shared" si="184"/>
        <v>9.7997854013095173E-2</v>
      </c>
      <c r="Z106" s="48"/>
      <c r="AA106" s="48">
        <f t="shared" si="185"/>
        <v>-2.767928907242613E-2</v>
      </c>
      <c r="AB106" s="48">
        <f t="shared" si="186"/>
        <v>4.0930875719745142E-3</v>
      </c>
      <c r="AC106" s="48">
        <f t="shared" si="187"/>
        <v>55.619172533070234</v>
      </c>
      <c r="AD106" s="48"/>
      <c r="AE106" s="48">
        <f t="shared" si="188"/>
        <v>-2.5897987258907382</v>
      </c>
      <c r="AF106" s="48">
        <f t="shared" si="189"/>
        <v>9.7852756976530338E-3</v>
      </c>
      <c r="AG106" s="48">
        <f t="shared" si="190"/>
        <v>6624.7669387910219</v>
      </c>
      <c r="AH106" s="33"/>
      <c r="AI106" s="48">
        <f t="shared" si="191"/>
        <v>-1.3787979783411557</v>
      </c>
      <c r="AJ106" s="48">
        <f t="shared" si="192"/>
        <v>2.3546204079220229E-2</v>
      </c>
      <c r="AK106" s="48">
        <f t="shared" si="193"/>
        <v>4647.3498256514358</v>
      </c>
      <c r="AL106" s="33"/>
      <c r="AM106" s="33"/>
      <c r="AN106" s="48">
        <f t="shared" si="194"/>
        <v>0.18715667803454883</v>
      </c>
      <c r="AO106" s="48">
        <f t="shared" si="195"/>
        <v>0.39572481588566832</v>
      </c>
      <c r="AP106" s="48">
        <f t="shared" si="196"/>
        <v>0.39794601869270757</v>
      </c>
      <c r="AQ106" s="48">
        <f t="shared" si="197"/>
        <v>1.9172487387075218E-2</v>
      </c>
      <c r="AR106" s="33"/>
      <c r="AS106" s="48"/>
      <c r="AT106" s="33">
        <f t="shared" si="198"/>
        <v>157410.45981173197</v>
      </c>
      <c r="AU106" s="33">
        <f t="shared" si="199"/>
        <v>185.89953098023227</v>
      </c>
      <c r="AV106" s="35">
        <f t="shared" si="200"/>
        <v>573.60017188973063</v>
      </c>
      <c r="AW106" s="33"/>
      <c r="AX106" s="35"/>
      <c r="AY106" s="33"/>
      <c r="AZ106" s="33"/>
      <c r="BA106" s="33"/>
      <c r="BB106" s="49"/>
      <c r="BD106" s="33"/>
      <c r="BE106" s="36"/>
      <c r="BF106" s="36"/>
      <c r="BG106" s="33"/>
      <c r="BH106" s="33"/>
      <c r="BI106" s="38"/>
    </row>
    <row r="107" spans="1:61" x14ac:dyDescent="0.55000000000000004">
      <c r="B107" s="37"/>
      <c r="C107" s="135" t="s">
        <v>58</v>
      </c>
      <c r="D107" s="158" t="s">
        <v>287</v>
      </c>
      <c r="E107" s="9" t="s">
        <v>355</v>
      </c>
      <c r="F107" s="158" t="s">
        <v>245</v>
      </c>
      <c r="H107" s="32">
        <v>7200</v>
      </c>
      <c r="J107" s="94">
        <f t="shared" si="180"/>
        <v>580.21865840284522</v>
      </c>
      <c r="K107" s="35"/>
      <c r="L107" s="127">
        <v>1.8172857142857144</v>
      </c>
      <c r="M107" s="127">
        <v>3.2250000000000005</v>
      </c>
      <c r="N107" s="127">
        <v>3.4397142857142855</v>
      </c>
      <c r="O107" s="127">
        <v>0.20100000000000001</v>
      </c>
      <c r="P107" s="33"/>
      <c r="Q107" s="23">
        <v>2.1819999999999999</v>
      </c>
      <c r="R107" s="23">
        <v>0.53600000000000003</v>
      </c>
      <c r="S107" s="23">
        <v>5.8000000000000003E-2</v>
      </c>
      <c r="T107" s="23">
        <v>0.29899999999999999</v>
      </c>
      <c r="U107" s="33"/>
      <c r="V107" s="48">
        <f t="shared" si="181"/>
        <v>0.70327691275078585</v>
      </c>
      <c r="W107" s="33">
        <f t="shared" si="182"/>
        <v>0.17810030768821816</v>
      </c>
      <c r="X107" s="48">
        <f t="shared" si="183"/>
        <v>1.9272048219993756E-2</v>
      </c>
      <c r="Y107" s="48">
        <f t="shared" si="184"/>
        <v>9.935073134100228E-2</v>
      </c>
      <c r="Z107" s="48"/>
      <c r="AA107" s="48">
        <f t="shared" si="185"/>
        <v>-2.4008460030962513E-2</v>
      </c>
      <c r="AB107" s="48">
        <f t="shared" si="186"/>
        <v>4.1406591681296141E-3</v>
      </c>
      <c r="AC107" s="48">
        <f t="shared" si="187"/>
        <v>50.655811403104437</v>
      </c>
      <c r="AD107" s="48"/>
      <c r="AE107" s="48">
        <f t="shared" si="188"/>
        <v>-2.5884061112339256</v>
      </c>
      <c r="AF107" s="48">
        <f t="shared" si="189"/>
        <v>9.6094498236286748E-3</v>
      </c>
      <c r="AG107" s="48">
        <f t="shared" si="190"/>
        <v>6617.7562828330238</v>
      </c>
      <c r="AH107" s="33"/>
      <c r="AI107" s="48">
        <f t="shared" si="191"/>
        <v>-1.3964822327991335</v>
      </c>
      <c r="AJ107" s="48">
        <f t="shared" si="192"/>
        <v>2.356514424973654E-2</v>
      </c>
      <c r="AK107" s="48">
        <f t="shared" si="193"/>
        <v>4706.6929866574474</v>
      </c>
      <c r="AL107" s="33"/>
      <c r="AM107" s="33"/>
      <c r="AN107" s="48">
        <f t="shared" si="194"/>
        <v>0.18961799138438809</v>
      </c>
      <c r="AO107" s="48">
        <f t="shared" si="195"/>
        <v>0.38065696721800751</v>
      </c>
      <c r="AP107" s="48">
        <f t="shared" si="196"/>
        <v>0.40600037460355182</v>
      </c>
      <c r="AQ107" s="48">
        <f t="shared" si="197"/>
        <v>2.3724666794052558E-2</v>
      </c>
      <c r="AR107" s="33"/>
      <c r="AS107" s="48"/>
      <c r="AT107" s="33">
        <f t="shared" si="198"/>
        <v>160397.17024392707</v>
      </c>
      <c r="AU107" s="33">
        <f t="shared" si="199"/>
        <v>187.95765307824234</v>
      </c>
      <c r="AV107" s="35">
        <f t="shared" si="200"/>
        <v>580.21865840284522</v>
      </c>
      <c r="AW107" s="33"/>
      <c r="AX107" s="35"/>
      <c r="AY107" s="33"/>
      <c r="AZ107" s="33"/>
      <c r="BA107" s="33"/>
      <c r="BB107" s="49"/>
      <c r="BD107" s="33"/>
      <c r="BE107" s="36"/>
      <c r="BF107" s="36"/>
      <c r="BG107" s="33"/>
      <c r="BH107" s="33"/>
      <c r="BI107" s="38"/>
    </row>
    <row r="108" spans="1:61" x14ac:dyDescent="0.55000000000000004">
      <c r="B108" s="37"/>
      <c r="C108" s="135" t="s">
        <v>58</v>
      </c>
      <c r="D108" s="158" t="s">
        <v>287</v>
      </c>
      <c r="E108" s="9" t="s">
        <v>356</v>
      </c>
      <c r="F108" s="158" t="s">
        <v>246</v>
      </c>
      <c r="H108" s="32">
        <v>7200</v>
      </c>
      <c r="J108" s="94">
        <f t="shared" si="180"/>
        <v>580.9920947568894</v>
      </c>
      <c r="K108" s="35"/>
      <c r="L108" s="127">
        <v>1.8172857142857144</v>
      </c>
      <c r="M108" s="127">
        <v>3.2250000000000005</v>
      </c>
      <c r="N108" s="127">
        <v>3.4397142857142855</v>
      </c>
      <c r="O108" s="127">
        <v>0.20100000000000001</v>
      </c>
      <c r="P108" s="33"/>
      <c r="Q108" s="23">
        <v>2.17</v>
      </c>
      <c r="R108" s="23">
        <v>0.53100000000000003</v>
      </c>
      <c r="S108" s="23">
        <v>8.6999999999999994E-2</v>
      </c>
      <c r="T108" s="23">
        <v>0.28899999999999998</v>
      </c>
      <c r="U108" s="33"/>
      <c r="V108" s="48">
        <f t="shared" si="181"/>
        <v>0.69886118397025121</v>
      </c>
      <c r="W108" s="33">
        <f t="shared" si="182"/>
        <v>0.17630067399316046</v>
      </c>
      <c r="X108" s="48">
        <f t="shared" si="183"/>
        <v>2.8885421162721202E-2</v>
      </c>
      <c r="Y108" s="48">
        <f t="shared" si="184"/>
        <v>9.5952720873866984E-2</v>
      </c>
      <c r="Z108" s="48"/>
      <c r="AA108" s="48">
        <f t="shared" si="185"/>
        <v>-9.5640928576268824E-3</v>
      </c>
      <c r="AB108" s="48">
        <f t="shared" si="186"/>
        <v>4.1317537257389717E-3</v>
      </c>
      <c r="AC108" s="48">
        <f t="shared" si="187"/>
        <v>-9.8598917948541498</v>
      </c>
      <c r="AD108" s="48"/>
      <c r="AE108" s="48">
        <f t="shared" si="188"/>
        <v>-2.6316164774776198</v>
      </c>
      <c r="AF108" s="48">
        <f t="shared" si="189"/>
        <v>9.00429854229743E-3</v>
      </c>
      <c r="AG108" s="48">
        <f t="shared" si="190"/>
        <v>6838.334641931152</v>
      </c>
      <c r="AH108" s="33"/>
      <c r="AI108" s="48">
        <f t="shared" si="191"/>
        <v>-1.4965498431032231</v>
      </c>
      <c r="AJ108" s="48">
        <f t="shared" si="192"/>
        <v>2.4766233888807953E-2</v>
      </c>
      <c r="AK108" s="48">
        <f t="shared" si="193"/>
        <v>4831.0164021639603</v>
      </c>
      <c r="AL108" s="33"/>
      <c r="AM108" s="33"/>
      <c r="AN108" s="48">
        <f t="shared" si="194"/>
        <v>0.18961799138438809</v>
      </c>
      <c r="AO108" s="48">
        <f t="shared" si="195"/>
        <v>0.38065696721800751</v>
      </c>
      <c r="AP108" s="48">
        <f t="shared" si="196"/>
        <v>0.40600037460355182</v>
      </c>
      <c r="AQ108" s="48">
        <f t="shared" si="197"/>
        <v>2.3724666794052558E-2</v>
      </c>
      <c r="AR108" s="33"/>
      <c r="AS108" s="48"/>
      <c r="AT108" s="33">
        <f t="shared" si="198"/>
        <v>160673.97133618279</v>
      </c>
      <c r="AU108" s="33">
        <f t="shared" si="199"/>
        <v>188.11152420946388</v>
      </c>
      <c r="AV108" s="35">
        <f t="shared" si="200"/>
        <v>580.9920947568894</v>
      </c>
      <c r="AW108" s="33"/>
      <c r="AX108" s="35"/>
      <c r="AY108" s="33"/>
      <c r="AZ108" s="33"/>
      <c r="BA108" s="33"/>
      <c r="BB108" s="49"/>
      <c r="BD108" s="33"/>
      <c r="BE108" s="36"/>
      <c r="BF108" s="36"/>
      <c r="BG108" s="33"/>
      <c r="BH108" s="33"/>
      <c r="BI108" s="38"/>
    </row>
    <row r="109" spans="1:61" x14ac:dyDescent="0.55000000000000004">
      <c r="B109" s="37"/>
      <c r="C109" s="135" t="s">
        <v>58</v>
      </c>
      <c r="D109" s="156" t="s">
        <v>287</v>
      </c>
      <c r="E109" s="147" t="s">
        <v>357</v>
      </c>
      <c r="F109" s="158" t="s">
        <v>247</v>
      </c>
      <c r="H109" s="32">
        <v>7200</v>
      </c>
      <c r="J109" s="94">
        <f t="shared" si="180"/>
        <v>580.23980830879884</v>
      </c>
      <c r="K109" s="35"/>
      <c r="L109" s="127">
        <v>1.8172857142857144</v>
      </c>
      <c r="M109" s="127">
        <v>3.2250000000000005</v>
      </c>
      <c r="N109" s="127">
        <v>3.4397142857142855</v>
      </c>
      <c r="O109" s="127">
        <v>0.20100000000000001</v>
      </c>
      <c r="P109" s="33"/>
      <c r="Q109" s="23">
        <v>2.1829999999999998</v>
      </c>
      <c r="R109" s="23">
        <v>0.53500000000000003</v>
      </c>
      <c r="S109" s="23">
        <v>7.1999999999999995E-2</v>
      </c>
      <c r="T109" s="23">
        <v>0.28399999999999997</v>
      </c>
      <c r="U109" s="33"/>
      <c r="V109" s="48">
        <f t="shared" si="181"/>
        <v>0.70384010689676946</v>
      </c>
      <c r="W109" s="33">
        <f t="shared" si="182"/>
        <v>0.17782889204290497</v>
      </c>
      <c r="X109" s="48">
        <f t="shared" si="183"/>
        <v>2.3932112573998424E-2</v>
      </c>
      <c r="Y109" s="48">
        <f t="shared" si="184"/>
        <v>9.4398888486327118E-2</v>
      </c>
      <c r="Z109" s="48"/>
      <c r="AA109" s="48">
        <f t="shared" si="185"/>
        <v>-2.9967570119944595E-2</v>
      </c>
      <c r="AB109" s="48">
        <f t="shared" si="186"/>
        <v>4.1379633696048317E-3</v>
      </c>
      <c r="AC109" s="48">
        <f t="shared" si="187"/>
        <v>41.103701824877064</v>
      </c>
      <c r="AD109" s="48"/>
      <c r="AE109" s="48">
        <f t="shared" si="188"/>
        <v>-2.5485335285194846</v>
      </c>
      <c r="AF109" s="48">
        <f t="shared" si="189"/>
        <v>9.2971859770765285E-3</v>
      </c>
      <c r="AG109" s="48">
        <f t="shared" si="190"/>
        <v>6624.7994982701794</v>
      </c>
      <c r="AH109" s="33"/>
      <c r="AI109" s="48">
        <f t="shared" si="191"/>
        <v>-1.4448365765983422</v>
      </c>
      <c r="AJ109" s="48">
        <f t="shared" si="192"/>
        <v>2.3848728519036709E-2</v>
      </c>
      <c r="AK109" s="48">
        <f t="shared" si="193"/>
        <v>4767.6316892412769</v>
      </c>
      <c r="AL109" s="33"/>
      <c r="AM109" s="33"/>
      <c r="AN109" s="48">
        <f t="shared" si="194"/>
        <v>0.18961799138438809</v>
      </c>
      <c r="AO109" s="48">
        <f t="shared" si="195"/>
        <v>0.38065696721800751</v>
      </c>
      <c r="AP109" s="48">
        <f t="shared" si="196"/>
        <v>0.40600037460355182</v>
      </c>
      <c r="AQ109" s="48">
        <f t="shared" si="197"/>
        <v>2.3724666794052558E-2</v>
      </c>
      <c r="AR109" s="33"/>
      <c r="AS109" s="48"/>
      <c r="AT109" s="33">
        <f t="shared" si="198"/>
        <v>160411.53667899666</v>
      </c>
      <c r="AU109" s="33">
        <f t="shared" si="199"/>
        <v>187.96982939940597</v>
      </c>
      <c r="AV109" s="35">
        <f t="shared" si="200"/>
        <v>580.23980830879884</v>
      </c>
      <c r="AW109" s="33"/>
      <c r="AX109" s="35"/>
      <c r="AY109" s="33"/>
      <c r="AZ109" s="33"/>
      <c r="BA109" s="33"/>
      <c r="BB109" s="49"/>
      <c r="BD109" s="33"/>
      <c r="BE109" s="36"/>
      <c r="BF109" s="36"/>
      <c r="BG109" s="33"/>
      <c r="BH109" s="33"/>
      <c r="BI109" s="38"/>
    </row>
    <row r="110" spans="1:61" x14ac:dyDescent="0.55000000000000004">
      <c r="B110" s="37"/>
      <c r="C110" s="135" t="s">
        <v>58</v>
      </c>
      <c r="D110" s="156" t="s">
        <v>287</v>
      </c>
      <c r="E110" s="147" t="s">
        <v>358</v>
      </c>
      <c r="F110" s="158" t="s">
        <v>250</v>
      </c>
      <c r="H110" s="32">
        <v>7200</v>
      </c>
      <c r="J110" s="94">
        <f t="shared" si="180"/>
        <v>581.35316577451397</v>
      </c>
      <c r="K110" s="35"/>
      <c r="L110" s="127">
        <v>1.8172857142857144</v>
      </c>
      <c r="M110" s="127">
        <v>3.2250000000000005</v>
      </c>
      <c r="N110" s="127">
        <v>3.4397142857142855</v>
      </c>
      <c r="O110" s="127">
        <v>0.20100000000000001</v>
      </c>
      <c r="P110" s="33"/>
      <c r="Q110" s="181">
        <v>2.1760000000000002</v>
      </c>
      <c r="R110" s="181">
        <v>0.53900000000000003</v>
      </c>
      <c r="S110" s="181">
        <v>6.7000000000000004E-2</v>
      </c>
      <c r="T110" s="181">
        <v>0.29399999999999998</v>
      </c>
      <c r="U110" s="33"/>
      <c r="V110" s="48">
        <f t="shared" ref="V110" si="201">Q110*0.97/(Q110*0.97+R110+S110+T110)</f>
        <v>0.70106818302598706</v>
      </c>
      <c r="W110" s="33">
        <f t="shared" ref="W110" si="202">R110/(Q110*0.97+R110+S110+T110)</f>
        <v>0.17902694372110323</v>
      </c>
      <c r="X110" s="48">
        <f t="shared" ref="X110" si="203">S110/(Q110*0.97+R110+S110+T110)</f>
        <v>2.2253813041398732E-2</v>
      </c>
      <c r="Y110" s="48">
        <f t="shared" ref="Y110" si="204">T110/(Q110*0.97+R110+S110+T110)</f>
        <v>9.7651060211510848E-2</v>
      </c>
      <c r="Z110" s="48"/>
      <c r="AA110" s="48">
        <f t="shared" ref="AA110" si="205">5.993*W110*W110-9.67*X110*X110-11.006*V110*W110+0.674*V110*X110-9.5725*W110*X110-22.765*W110*Y110-4.6665*X110*Y110+11.006*V110*V110*W110-0.674*V110*V110*X110-11.986*W110*W110*V110+37.966*W110*W110*X110+46.02*W110*W110*Y110+19.34*X110*X110*V110+25.746*X110*X110*W110+46.02*Y110*Y110*W110+19.145*V110*W110*X110+45.53*V110*W110*Y110+9.333*V110*X110*Y110+77.876*W110*X110*Y110</f>
        <v>-2.339473295046908E-2</v>
      </c>
      <c r="AB110" s="48">
        <f t="shared" ref="AB110" si="206">-0.034*W110*W110+0.135*X110*X110+0.024*Y110*Y110+0.1*V110*W110+0.08*V110*X110+0.048*V110*Y110-0.0515*W110*X110+0.07*W110*Y110+0.1765*X110*Y110-0.1*V110*V110*W110-0.08*V110*V110*X110-0.048*V110*V110*Y110+0.068*W110*W110*V110-0.136*W110*W110*X110-0.076*W110*W110*Y110-0.27*X110*X110*V110-0.28*X110*X110*W110-0.13*X110*X110*Y110-0.048*Y110*Y110*V110-0.076*Y110*Y110*W110-0.13*Y110*Y110*X110+0.103*V110*W110*X110-0.14*V110*W110*Y110-0.353*V110*X110*Y110-0.414*W110*X110*Y110</f>
        <v>4.1783931835244308E-3</v>
      </c>
      <c r="AC110" s="48">
        <f t="shared" ref="AC110" si="207">-5672*W110*W110+19932*X110*X110+1617*Y110*Y110+23244*V110*W110-2608*V110*X110+3234*V110*Y110+31326.5*W110*X110+45841*W110*Y110+12356*X110*Y110-23244*V110*V110*W110+2608*V110*V110*X110-3234*V110*V110*Y110+11344*W110*W110*V110-132228*W110*W110*X110-82498*W110*W110*Y110-39864*X110*X110*V110-51518*X110*X110*W110-2850*X110*X110*Y110-3234*Y110*Y110*V110-82498*Y110*Y110*W110-2850*Y110*Y110*X110-62653*V110*W110*X110-91682*V110*W110*Y110-24712*V110*X110*Y110-177221*W110*X110*Y110</f>
        <v>38.181111566313334</v>
      </c>
      <c r="AD110" s="48"/>
      <c r="AE110" s="48">
        <f t="shared" ref="AE110" si="208">-5.503*V110*V110-12.873*X110*X110-23.01*Y110*Y110+11.986*V110*W110-9.5725*V110*X110-22.765*V110*Y110-37.966*W110*X110-46.02*W110*Y110-38.938*X110*Y110+11.006*V110*V110*W110-0.674*V110*V110*X110-11.986*W110*W110*V110+37.966*W110*W110*X110+46.02*W110*W110*Y110+19.34*X110*X110*V110+25.746*X110*X110*W110+46.02*Y110*Y110*W110+19.145*V110*W110*X110+45.53*V110*W110*Y110+9.333*V110*X110*Y110+77.876*W110*X110*Y110</f>
        <v>-2.567952726260712</v>
      </c>
      <c r="AF110" s="48">
        <f t="shared" ref="AF110" si="209">0.05*V110*V110+0.14*X110*X110+0.038*Y110*Y110-0.068*V110*W110-0.0515*V110*X110+0.07*V110*Y110+0.136*W110*X110+0.076*W110*Y110+0.207*X110*Y110-0.1*V110*V110*W110-0.08*V110*V110*X110-0.048*V110*V110*Y110+0.068*W110*W110*V110-0.136*W110*W110*X110-0.076*W110*W110*Y110-0.27*X110*X110*V110-0.28*X110*X110*W110-0.13*X110*X110*Y110-0.048*Y110*Y110*V110-0.076*Y110*Y110*W110-0.13*Y110*Y110*X110+0.103*V110*W110*X110-0.14*V110*W110*Y110-0.353*V110*X110*Y110-0.414*W110*X110*Y110</f>
        <v>9.2659361793254406E-3</v>
      </c>
      <c r="AG110" s="48">
        <f t="shared" ref="AG110" si="210">11622*V110*V110+25759*X110*X110+41249*Y110*Y110-11344*V110*W110+31326.5*V110*X110+45841*V110*Y110+132228*W110*X110+82498*W110*Y110+88610.5*X110*Y110-23244*V110*V110*W110+2608*V110*V110*X110-3234*V110*V110*Y110+11344*W110*W110*V110-132228*W110*W110*X110-82498*W110*W110*Y110-39864*X110*X110*V110-51518*X110*X110*W110-2850*X110*X110*Y110-3234*Y110*Y110*V110-82498*Y110*Y110*W110-2850*Y110*Y110*X110-62653*V110*W110*X110-91682*V110*W110*Y110-24712*V110*X110*Y110-177221*W110*X110*Y110</f>
        <v>6626.6609838103905</v>
      </c>
      <c r="AH110" s="33"/>
      <c r="AI110" s="48">
        <f t="shared" ref="AI110" si="211">0.337*V110*V110-18.983*W110*W110-9.5725*V110*W110-19.34*V110*X110-4.6665*V110*Y110-25.746*W110*X110-38.938*W110*Y110+11.006*V110*V110*W110-0.674*V110*V110*X110-11.986*W110*W110*V110+37.966*W110*W110*X110+46.02*W110*W110*Y110+19.34*X110*X110*V110+25.746*X110*X110*W110+46.02*Y110*Y110*W110+19.145*V110*W110*X110+45.53*V110*W110*Y110+9.333*V110*X110*Y110+77.876*W110*X110*Y110</f>
        <v>-1.4422998511604677</v>
      </c>
      <c r="AJ110" s="48">
        <f t="shared" ref="AJ110" si="212">0.04*V110*V110+0.068*W110*W110+0.065*Y110*Y110-0.0515*V110*W110+0.27*V110*X110+0.1765*V110*Y110+0.28*W110*X110+0.207*W110*Y110+0.13*X110*Y110-0.1*V110*V110*W110-0.08*V110*V110*X110-0.048*V110*V110*Y110+0.068*W110*W110*V110-0.136*W110*W110*X110-0.076*W110*W110*Y110-0.27*X110*X110*V110-0.28*X110*X110*W110-0.13*X110*X110*Y110-0.048*Y110*Y110*V110-0.076*Y110*Y110*W110-0.13*Y110*Y110*X110+0.103*V110*W110*X110-0.14*V110*W110*Y110-0.353*V110*X110*Y110-0.414*W110*X110*Y110</f>
        <v>2.3792857096227235E-2</v>
      </c>
      <c r="AK110" s="48">
        <f t="shared" ref="AK110" si="213">-1304*V110*V110+66114*W110*W110+1425*Y110*Y110+31326.5*V110*W110+39864*V110*X110+12356*V110*Y110+51518*W110*X110+88610.5*W110*Y110+2850*X110*Y110-23244*V110*V110*W110+2608*V110*V110*X110-3234*V110*V110*Y110+11344*W110*W110*V110-132228*W110*W110*X110-82498*W110*W110*Y110-39864*X110*X110*V110-51518*X110*X110*W110-2850*X110*X110*Y110-3234*Y110*Y110*V110-82498*Y110*Y110*W110-2850*Y110*Y110*X110-62653*V110*W110*X110-91682*V110*W110*Y110-24712*V110*X110*Y110-177221*W110*X110*Y110</f>
        <v>4795.3974542214528</v>
      </c>
      <c r="AL110" s="33"/>
      <c r="AM110" s="33"/>
      <c r="AN110" s="48">
        <f t="shared" ref="AN110" si="214">L110*0.884/(L110*0.884+M110+N110+O110)</f>
        <v>0.18961799138438809</v>
      </c>
      <c r="AO110" s="48">
        <f t="shared" ref="AO110" si="215">M110/(L110*0.884+M110+N110+O110)</f>
        <v>0.38065696721800751</v>
      </c>
      <c r="AP110" s="48">
        <f t="shared" ref="AP110" si="216">N110/(L110*0.884+M110+N110+O110)</f>
        <v>0.40600037460355182</v>
      </c>
      <c r="AQ110" s="48">
        <f t="shared" ref="AQ110" si="217">O110/(L110*0.884+M110+N110+O110)</f>
        <v>2.3724666794052558E-2</v>
      </c>
      <c r="AR110" s="33"/>
      <c r="AS110" s="48"/>
      <c r="AT110" s="33">
        <f t="shared" si="198"/>
        <v>160415.80466159142</v>
      </c>
      <c r="AU110" s="33">
        <f t="shared" si="199"/>
        <v>187.72991264016207</v>
      </c>
      <c r="AV110" s="35">
        <f t="shared" ref="AV110" si="218">AT110/AU110-273.15</f>
        <v>581.35316577451397</v>
      </c>
      <c r="AW110" s="33"/>
      <c r="AX110" s="35"/>
      <c r="AY110" s="33"/>
      <c r="AZ110" s="33"/>
      <c r="BA110" s="33"/>
      <c r="BB110" s="49"/>
      <c r="BD110" s="33"/>
      <c r="BE110" s="36"/>
      <c r="BF110" s="36"/>
      <c r="BG110" s="33"/>
      <c r="BH110" s="33"/>
      <c r="BI110" s="38"/>
    </row>
    <row r="111" spans="1:61" x14ac:dyDescent="0.55000000000000004">
      <c r="B111" s="37"/>
      <c r="C111" s="135"/>
      <c r="H111" s="32"/>
      <c r="I111" s="37" t="s">
        <v>59</v>
      </c>
      <c r="J111" s="153">
        <f>AVERAGE(J100:J109)</f>
        <v>577.20236943647319</v>
      </c>
      <c r="K111" s="35"/>
      <c r="L111" s="23"/>
      <c r="M111" s="23"/>
      <c r="N111" s="23"/>
      <c r="O111" s="23"/>
      <c r="P111" s="33"/>
      <c r="Q111" s="23"/>
      <c r="R111" s="23"/>
      <c r="S111" s="23"/>
      <c r="T111" s="23"/>
      <c r="U111" s="33"/>
      <c r="V111" s="48"/>
      <c r="W111" s="33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33"/>
      <c r="AI111" s="48"/>
      <c r="AJ111" s="48"/>
      <c r="AK111" s="48"/>
      <c r="AL111" s="33"/>
      <c r="AM111" s="33"/>
      <c r="AN111" s="48"/>
      <c r="AO111" s="48"/>
      <c r="AP111" s="48"/>
      <c r="AQ111" s="48"/>
      <c r="AR111" s="33"/>
      <c r="AS111" s="48"/>
      <c r="AT111" s="33"/>
      <c r="AU111" s="33"/>
      <c r="AV111" s="35"/>
      <c r="AW111" s="33"/>
      <c r="AX111" s="35"/>
      <c r="AY111" s="33"/>
      <c r="AZ111" s="33"/>
      <c r="BA111" s="33"/>
      <c r="BB111" s="49"/>
      <c r="BD111" s="33"/>
      <c r="BE111" s="36"/>
      <c r="BF111" s="36"/>
      <c r="BG111" s="33"/>
      <c r="BH111" s="33"/>
      <c r="BI111" s="38"/>
    </row>
    <row r="112" spans="1:61" x14ac:dyDescent="0.55000000000000004">
      <c r="H112" s="23"/>
      <c r="J112" s="19"/>
      <c r="L112" s="23"/>
      <c r="M112" s="23"/>
      <c r="N112" s="23"/>
      <c r="O112" s="23"/>
      <c r="Q112" s="23"/>
      <c r="R112" s="23"/>
      <c r="S112" s="23"/>
      <c r="T112" s="23"/>
    </row>
    <row r="113" spans="1:197" x14ac:dyDescent="0.55000000000000004">
      <c r="B113" s="47" t="s">
        <v>84</v>
      </c>
      <c r="C113" s="79" t="s">
        <v>336</v>
      </c>
      <c r="D113" s="158" t="s">
        <v>248</v>
      </c>
      <c r="E113" s="9" t="s">
        <v>337</v>
      </c>
      <c r="F113" s="179" t="s">
        <v>278</v>
      </c>
      <c r="H113" s="32">
        <v>6740</v>
      </c>
      <c r="J113" s="94">
        <f t="shared" ref="J113:J123" si="219">AV113</f>
        <v>614.05255076875073</v>
      </c>
      <c r="K113" s="35"/>
      <c r="L113" s="23">
        <v>2.0870000000000002</v>
      </c>
      <c r="M113" s="127">
        <v>2.7776666666666663</v>
      </c>
      <c r="N113" s="127">
        <v>3.0786666666666669</v>
      </c>
      <c r="O113" s="127">
        <v>0.15333333333333335</v>
      </c>
      <c r="P113" s="33"/>
      <c r="Q113" s="23">
        <v>2.1930000000000001</v>
      </c>
      <c r="R113" s="23">
        <v>0.55900000000000005</v>
      </c>
      <c r="S113" s="23">
        <v>5.7000000000000002E-2</v>
      </c>
      <c r="T113" s="23">
        <v>0.27200000000000002</v>
      </c>
      <c r="U113" s="33"/>
      <c r="V113" s="48">
        <f t="shared" ref="V113:V123" si="220">Q113*0.97/(Q113*0.97+R113+S113+T113)</f>
        <v>0.70549314973086452</v>
      </c>
      <c r="W113" s="33">
        <f t="shared" ref="W113:W123" si="221">R113/(Q113*0.97+R113+S113+T113)</f>
        <v>0.18539338885185447</v>
      </c>
      <c r="X113" s="48">
        <f t="shared" ref="X113:X123" si="222">S113/(Q113*0.97+R113+S113+T113)</f>
        <v>1.8904155929437751E-2</v>
      </c>
      <c r="Y113" s="48">
        <f t="shared" ref="Y113:Y123" si="223">T113/(Q113*0.97+R113+S113+T113)</f>
        <v>9.0209305487843311E-2</v>
      </c>
      <c r="Z113" s="48"/>
      <c r="AA113" s="48">
        <f t="shared" ref="AA113:AA123" si="224">5.993*W113*W113-9.67*X113*X113-11.006*V113*W113+0.674*V113*X113-9.5725*W113*X113-22.765*W113*Y113-4.6665*X113*Y113+11.006*V113*V113*W113-0.674*V113*V113*X113-11.986*W113*W113*V113+37.966*W113*W113*X113+46.02*W113*W113*Y113+19.34*X113*X113*V113+25.746*X113*X113*W113+46.02*Y113*Y113*W113+19.145*V113*W113*X113+45.53*V113*W113*Y113+9.333*V113*X113*Y113+77.876*W113*X113*Y113</f>
        <v>-6.7891871733485459E-2</v>
      </c>
      <c r="AB113" s="48">
        <f t="shared" ref="AB113:AB123" si="225">-0.034*W113*W113+0.135*X113*X113+0.024*Y113*Y113+0.1*V113*W113+0.08*V113*X113+0.048*V113*Y113-0.0515*W113*X113+0.07*W113*Y113+0.1765*X113*Y113-0.1*V113*V113*W113-0.08*V113*V113*X113-0.048*V113*V113*Y113+0.068*W113*W113*V113-0.136*W113*W113*X113-0.076*W113*W113*Y113-0.27*X113*X113*V113-0.28*X113*X113*W113-0.13*X113*X113*Y113-0.048*Y113*Y113*V113-0.076*Y113*Y113*W113-0.13*Y113*Y113*X113+0.103*V113*W113*X113-0.14*V113*W113*Y113-0.353*V113*X113*Y113-0.414*W113*X113*Y113</f>
        <v>4.303076437878384E-3</v>
      </c>
      <c r="AC113" s="48">
        <f t="shared" ref="AC113:AC123" si="226">-5672*W113*W113+19932*X113*X113+1617*Y113*Y113+23244*V113*W113-2608*V113*X113+3234*V113*Y113+31326.5*W113*X113+45841*W113*Y113+12356*X113*Y113-23244*V113*V113*W113+2608*V113*V113*X113-3234*V113*V113*Y113+11344*W113*W113*V113-132228*W113*W113*X113-82498*W113*W113*Y113-39864*X113*X113*V113-51518*X113*X113*W113-2850*X113*X113*Y113-3234*Y113*Y113*V113-82498*Y113*Y113*W113-2850*Y113*Y113*X113-62653*V113*W113*X113-91682*V113*W113*Y113-24712*V113*X113*Y113-177221*W113*X113*Y113</f>
        <v>122.5010691155037</v>
      </c>
      <c r="AD113" s="48"/>
      <c r="AE113" s="48">
        <f t="shared" ref="AE113:AE123" si="227">-5.503*V113*V113-12.873*X113*X113-23.01*Y113*Y113+11.986*V113*W113-9.5725*V113*X113-22.765*V113*Y113-37.966*W113*X113-46.02*W113*Y113-38.938*X113*Y113+11.006*V113*V113*W113-0.674*V113*V113*X113-11.986*W113*W113*V113+37.966*W113*W113*X113+46.02*W113*W113*Y113+19.34*X113*X113*V113+25.746*X113*X113*W113+46.02*Y113*Y113*W113+19.145*V113*W113*X113+45.53*V113*W113*Y113+9.333*V113*X113*Y113+77.876*W113*X113*Y113</f>
        <v>-2.3263580092558236</v>
      </c>
      <c r="AF113" s="48">
        <f t="shared" ref="AF113:AF123" si="228">0.05*V113*V113+0.14*X113*X113+0.038*Y113*Y113-0.068*V113*W113-0.0515*V113*X113+0.07*V113*Y113+0.136*W113*X113+0.076*W113*Y113+0.207*X113*Y113-0.1*V113*V113*W113-0.08*V113*V113*X113-0.048*V113*V113*Y113+0.068*W113*W113*V113-0.136*W113*W113*X113-0.076*W113*W113*Y113-0.27*X113*X113*V113-0.28*X113*X113*W113-0.13*X113*X113*Y113-0.048*Y113*Y113*V113-0.076*Y113*Y113*W113-0.13*Y113*Y113*X113+0.103*V113*W113*X113-0.14*V113*W113*Y113-0.353*V113*X113*Y113-0.414*W113*X113*Y113</f>
        <v>8.9559041939595331E-3</v>
      </c>
      <c r="AG113" s="48">
        <f t="shared" ref="AG113:AG123" si="229">11622*V113*V113+25759*X113*X113+41249*Y113*Y113-11344*V113*W113+31326.5*V113*X113+45841*V113*Y113+132228*W113*X113+82498*W113*Y113+88610.5*X113*Y113-23244*V113*V113*W113+2608*V113*V113*X113-3234*V113*V113*Y113+11344*W113*W113*V113-132228*W113*W113*X113-82498*W113*W113*Y113-39864*X113*X113*V113-51518*X113*X113*W113-2850*X113*X113*Y113-3234*Y113*Y113*V113-82498*Y113*Y113*W113-2850*Y113*Y113*X113-62653*V113*W113*X113-91682*V113*W113*Y113-24712*V113*X113*Y113-177221*W113*X113*Y113</f>
        <v>6163.5632780277356</v>
      </c>
      <c r="AH113" s="33"/>
      <c r="AI113" s="48">
        <f t="shared" ref="AI113:AI123" si="230">0.337*V113*V113-18.983*W113*W113-9.5725*V113*W113-19.34*V113*X113-4.6665*V113*Y113-25.746*W113*X113-38.938*W113*Y113+11.006*V113*V113*W113-0.674*V113*V113*X113-11.986*W113*W113*V113+37.966*W113*W113*X113+46.02*W113*W113*Y113+19.34*X113*X113*V113+25.746*X113*X113*W113+46.02*Y113*Y113*W113+19.145*V113*W113*X113+45.53*V113*W113*Y113+9.333*V113*X113*Y113+77.876*W113*X113*Y113</f>
        <v>-1.4507676861852328</v>
      </c>
      <c r="AJ113" s="48">
        <f t="shared" ref="AJ113:AJ123" si="231">0.04*V113*V113+0.068*W113*W113+0.065*Y113*Y113-0.0515*V113*W113+0.27*V113*X113+0.1765*V113*Y113+0.28*W113*X113+0.207*W113*Y113+0.13*X113*Y113-0.1*V113*V113*W113-0.08*V113*V113*X113-0.048*V113*V113*Y113+0.068*W113*W113*V113-0.136*W113*W113*X113-0.076*W113*W113*Y113-0.27*X113*X113*V113-0.28*X113*X113*W113-0.13*X113*X113*Y113-0.048*Y113*Y113*V113-0.076*Y113*Y113*W113-0.13*Y113*Y113*X113+0.103*V113*W113*X113-0.14*V113*W113*Y113-0.353*V113*X113*Y113-0.414*W113*X113*Y113</f>
        <v>2.2273573116074752E-2</v>
      </c>
      <c r="AK113" s="48">
        <f t="shared" ref="AK113:AK123" si="232">-1304*V113*V113+66114*W113*W113+1425*Y113*Y113+31326.5*V113*W113+39864*V113*X113+12356*V113*Y113+51518*W113*X113+88610.5*W113*Y113+2850*X113*Y113-23244*V113*V113*W113+2608*V113*V113*X113-3234*V113*V113*Y113+11344*W113*W113*V113-132228*W113*W113*X113-82498*W113*W113*Y113-39864*X113*X113*V113-51518*X113*X113*W113-2850*X113*X113*Y113-3234*Y113*Y113*V113-82498*Y113*Y113*W113-2850*Y113*Y113*X113-62653*V113*W113*X113-91682*V113*W113*Y113-24712*V113*X113*Y113-177221*W113*X113*Y113</f>
        <v>4906.0859897030114</v>
      </c>
      <c r="AL113" s="33"/>
      <c r="AM113" s="33"/>
      <c r="AN113" s="48">
        <f t="shared" ref="AN113:AN123" si="233">L113*0.884/(L113*0.884+M113+N113+O113)</f>
        <v>0.23488324680767778</v>
      </c>
      <c r="AO113" s="48">
        <f t="shared" ref="AO113:AO123" si="234">M113/(L113*0.884+M113+N113+O113)</f>
        <v>0.35363680206065895</v>
      </c>
      <c r="AP113" s="48">
        <f t="shared" ref="AP113:AP123" si="235">N113/(L113*0.884+M113+N113+O113)</f>
        <v>0.39195841879662147</v>
      </c>
      <c r="AQ113" s="48">
        <f t="shared" ref="AQ113:AQ123" si="236">O113/(L113*0.884+M113+N113+O113)</f>
        <v>1.952153233504178E-2</v>
      </c>
      <c r="AR113" s="33"/>
      <c r="AS113" s="48"/>
      <c r="AT113" s="33">
        <f t="shared" ref="AT113:AT123" si="237">40198+(0.295-(AB113-AF113))*H113-(AC113-AG113)+22998*(AO113-AN113)+245559*AP113+310990*AQ113</f>
        <v>153309.73523385049</v>
      </c>
      <c r="AU113" s="33">
        <f t="shared" ref="AU113:AU123" si="238">7.802+3*8.3144*LN((V113/W113)/(AN113/AO113))+(AA113-AE113)+17.396*(AO113-AN113)+280.396*AP113+370.39*AQ113</f>
        <v>172.80127869448683</v>
      </c>
      <c r="AV113" s="35">
        <f t="shared" ref="AV113:AV123" si="239">AT113/AU113-273.15</f>
        <v>614.05255076875073</v>
      </c>
      <c r="AW113" s="33"/>
      <c r="AX113" s="35"/>
      <c r="AY113" s="33"/>
      <c r="AZ113" s="33"/>
      <c r="BA113" s="33"/>
      <c r="BB113" s="49"/>
      <c r="BD113" s="33"/>
      <c r="BE113" s="36"/>
      <c r="BF113" s="36"/>
      <c r="BG113" s="33"/>
      <c r="BH113" s="33"/>
      <c r="BI113" s="38"/>
    </row>
    <row r="114" spans="1:197" x14ac:dyDescent="0.55000000000000004">
      <c r="B114" s="37"/>
      <c r="C114" s="79" t="s">
        <v>336</v>
      </c>
      <c r="D114" s="158" t="s">
        <v>248</v>
      </c>
      <c r="E114" s="9" t="s">
        <v>338</v>
      </c>
      <c r="F114" s="179" t="s">
        <v>274</v>
      </c>
      <c r="H114" s="32">
        <v>6740</v>
      </c>
      <c r="J114" s="94">
        <f t="shared" si="219"/>
        <v>613.01134382832117</v>
      </c>
      <c r="K114" s="35"/>
      <c r="L114" s="23">
        <v>2.0870000000000002</v>
      </c>
      <c r="M114" s="127">
        <v>2.7776666666666663</v>
      </c>
      <c r="N114" s="127">
        <v>3.0786666666666669</v>
      </c>
      <c r="O114" s="127">
        <v>0.15333333333333335</v>
      </c>
      <c r="P114" s="33"/>
      <c r="Q114" s="23">
        <v>2.2109999999999999</v>
      </c>
      <c r="R114" s="23">
        <v>0.56100000000000005</v>
      </c>
      <c r="S114" s="23">
        <v>4.8000000000000001E-2</v>
      </c>
      <c r="T114" s="23">
        <v>0.27300000000000002</v>
      </c>
      <c r="U114" s="33"/>
      <c r="V114" s="48">
        <f t="shared" si="220"/>
        <v>0.70859062930547423</v>
      </c>
      <c r="W114" s="33">
        <f t="shared" si="221"/>
        <v>0.18535221877508948</v>
      </c>
      <c r="X114" s="48">
        <f t="shared" si="222"/>
        <v>1.5859013371130649E-2</v>
      </c>
      <c r="Y114" s="48">
        <f t="shared" si="223"/>
        <v>9.0198138548305579E-2</v>
      </c>
      <c r="Z114" s="48"/>
      <c r="AA114" s="48">
        <f t="shared" si="224"/>
        <v>-7.6071549164230284E-2</v>
      </c>
      <c r="AB114" s="48">
        <f t="shared" si="225"/>
        <v>4.2778451261597673E-3</v>
      </c>
      <c r="AC114" s="48">
        <f t="shared" si="226"/>
        <v>147.6057206055988</v>
      </c>
      <c r="AD114" s="48"/>
      <c r="AE114" s="48">
        <f t="shared" si="227"/>
        <v>-2.3047003603230594</v>
      </c>
      <c r="AF114" s="48">
        <f t="shared" si="228"/>
        <v>9.2246525191360743E-3</v>
      </c>
      <c r="AG114" s="48">
        <f t="shared" si="229"/>
        <v>6082.0672618406643</v>
      </c>
      <c r="AH114" s="33"/>
      <c r="AI114" s="48">
        <f t="shared" si="230"/>
        <v>-1.4086337282450796</v>
      </c>
      <c r="AJ114" s="48">
        <f t="shared" si="231"/>
        <v>2.1814282482493355E-2</v>
      </c>
      <c r="AK114" s="48">
        <f t="shared" si="232"/>
        <v>4835.1718864357626</v>
      </c>
      <c r="AL114" s="33"/>
      <c r="AM114" s="33"/>
      <c r="AN114" s="48">
        <f t="shared" si="233"/>
        <v>0.23488324680767778</v>
      </c>
      <c r="AO114" s="48">
        <f t="shared" si="234"/>
        <v>0.35363680206065895</v>
      </c>
      <c r="AP114" s="48">
        <f t="shared" si="235"/>
        <v>0.39195841879662147</v>
      </c>
      <c r="AQ114" s="48">
        <f t="shared" si="236"/>
        <v>1.952153233504178E-2</v>
      </c>
      <c r="AR114" s="33"/>
      <c r="AS114" s="48"/>
      <c r="AT114" s="33">
        <f t="shared" si="237"/>
        <v>153205.115988926</v>
      </c>
      <c r="AU114" s="33">
        <f t="shared" si="238"/>
        <v>172.88625491951825</v>
      </c>
      <c r="AV114" s="35">
        <f t="shared" si="239"/>
        <v>613.01134382832117</v>
      </c>
      <c r="AW114" s="33"/>
      <c r="AX114" s="35"/>
      <c r="AY114" s="33"/>
      <c r="AZ114" s="33"/>
      <c r="BA114" s="33"/>
      <c r="BB114" s="49"/>
      <c r="BD114" s="33"/>
      <c r="BE114" s="36"/>
      <c r="BF114" s="36"/>
      <c r="BG114" s="33"/>
      <c r="BH114" s="33"/>
      <c r="BI114" s="38"/>
    </row>
    <row r="115" spans="1:197" x14ac:dyDescent="0.55000000000000004">
      <c r="B115" s="37"/>
      <c r="C115" s="79" t="s">
        <v>336</v>
      </c>
      <c r="D115" s="158" t="s">
        <v>248</v>
      </c>
      <c r="E115" s="9" t="s">
        <v>339</v>
      </c>
      <c r="F115" s="179" t="s">
        <v>273</v>
      </c>
      <c r="H115" s="32">
        <v>6740</v>
      </c>
      <c r="J115" s="94">
        <f t="shared" si="219"/>
        <v>614.10675413486206</v>
      </c>
      <c r="K115" s="35"/>
      <c r="L115" s="23">
        <v>2.0870000000000002</v>
      </c>
      <c r="M115" s="127">
        <v>2.7776666666666663</v>
      </c>
      <c r="N115" s="127">
        <v>3.0786666666666669</v>
      </c>
      <c r="O115" s="127">
        <v>0.15333333333333335</v>
      </c>
      <c r="P115" s="33"/>
      <c r="Q115" s="23">
        <v>2.2000000000000002</v>
      </c>
      <c r="R115" s="23">
        <v>0.56200000000000006</v>
      </c>
      <c r="S115" s="23">
        <v>5.2999999999999999E-2</v>
      </c>
      <c r="T115" s="23">
        <v>0.27400000000000002</v>
      </c>
      <c r="U115" s="33"/>
      <c r="V115" s="48">
        <f t="shared" si="220"/>
        <v>0.70592127026132989</v>
      </c>
      <c r="W115" s="33">
        <f t="shared" si="221"/>
        <v>0.18590803837247771</v>
      </c>
      <c r="X115" s="48">
        <f t="shared" si="222"/>
        <v>1.7532252729077078E-2</v>
      </c>
      <c r="Y115" s="48">
        <f t="shared" si="223"/>
        <v>9.0638438637115459E-2</v>
      </c>
      <c r="Z115" s="48"/>
      <c r="AA115" s="48">
        <f t="shared" si="224"/>
        <v>-7.0571890085772221E-2</v>
      </c>
      <c r="AB115" s="48">
        <f t="shared" si="225"/>
        <v>4.3100217912898364E-3</v>
      </c>
      <c r="AC115" s="48">
        <f t="shared" si="226"/>
        <v>132.56776843450413</v>
      </c>
      <c r="AD115" s="48"/>
      <c r="AE115" s="48">
        <f t="shared" si="227"/>
        <v>-2.3148772096837069</v>
      </c>
      <c r="AF115" s="48">
        <f t="shared" si="228"/>
        <v>9.0110435859353383E-3</v>
      </c>
      <c r="AG115" s="48">
        <f t="shared" si="229"/>
        <v>6122.1828635991633</v>
      </c>
      <c r="AH115" s="33"/>
      <c r="AI115" s="48">
        <f t="shared" si="230"/>
        <v>-1.4388545806588386</v>
      </c>
      <c r="AJ115" s="48">
        <f t="shared" si="231"/>
        <v>2.206983794988604E-2</v>
      </c>
      <c r="AK115" s="48">
        <f t="shared" si="232"/>
        <v>4897.5181492890197</v>
      </c>
      <c r="AL115" s="33"/>
      <c r="AM115" s="33"/>
      <c r="AN115" s="48">
        <f t="shared" si="233"/>
        <v>0.23488324680767778</v>
      </c>
      <c r="AO115" s="48">
        <f t="shared" si="234"/>
        <v>0.35363680206065895</v>
      </c>
      <c r="AP115" s="48">
        <f t="shared" si="235"/>
        <v>0.39195841879662147</v>
      </c>
      <c r="AQ115" s="48">
        <f t="shared" si="236"/>
        <v>1.952153233504178E-2</v>
      </c>
      <c r="AR115" s="33"/>
      <c r="AS115" s="48"/>
      <c r="AT115" s="33">
        <f t="shared" si="237"/>
        <v>153258.61294792284</v>
      </c>
      <c r="AU115" s="33">
        <f t="shared" si="238"/>
        <v>172.73310373090459</v>
      </c>
      <c r="AV115" s="35">
        <f t="shared" si="239"/>
        <v>614.10675413486206</v>
      </c>
      <c r="AW115" s="33"/>
      <c r="AX115" s="35"/>
      <c r="AY115" s="33"/>
      <c r="AZ115" s="33"/>
      <c r="BA115" s="33"/>
      <c r="BB115" s="49"/>
      <c r="BD115" s="33"/>
      <c r="BE115" s="36"/>
      <c r="BF115" s="36"/>
      <c r="BG115" s="33"/>
      <c r="BH115" s="33"/>
      <c r="BI115" s="38"/>
    </row>
    <row r="116" spans="1:197" x14ac:dyDescent="0.55000000000000004">
      <c r="B116" s="37"/>
      <c r="C116" s="79" t="s">
        <v>336</v>
      </c>
      <c r="D116" s="158" t="s">
        <v>248</v>
      </c>
      <c r="E116" s="9" t="s">
        <v>340</v>
      </c>
      <c r="F116" s="179" t="s">
        <v>272</v>
      </c>
      <c r="H116" s="32">
        <v>6740</v>
      </c>
      <c r="J116" s="94">
        <f t="shared" si="219"/>
        <v>612.56566798318909</v>
      </c>
      <c r="K116" s="35"/>
      <c r="L116" s="23">
        <v>2.0870000000000002</v>
      </c>
      <c r="M116" s="127">
        <v>2.7776666666666663</v>
      </c>
      <c r="N116" s="127">
        <v>3.0786666666666669</v>
      </c>
      <c r="O116" s="127">
        <v>0.15333333333333335</v>
      </c>
      <c r="P116" s="33"/>
      <c r="Q116" s="23">
        <v>2.206</v>
      </c>
      <c r="R116" s="23">
        <v>0.55500000000000005</v>
      </c>
      <c r="S116" s="23">
        <v>5.7000000000000002E-2</v>
      </c>
      <c r="T116" s="23">
        <v>0.27300000000000002</v>
      </c>
      <c r="U116" s="33"/>
      <c r="V116" s="48">
        <f t="shared" si="220"/>
        <v>0.70742060684602714</v>
      </c>
      <c r="W116" s="33">
        <f t="shared" si="221"/>
        <v>0.18348199231689821</v>
      </c>
      <c r="X116" s="48">
        <f t="shared" si="222"/>
        <v>1.8844096508221976E-2</v>
      </c>
      <c r="Y116" s="48">
        <f t="shared" si="223"/>
        <v>9.0253304328852632E-2</v>
      </c>
      <c r="Z116" s="48"/>
      <c r="AA116" s="48">
        <f t="shared" si="224"/>
        <v>-6.5527981135674929E-2</v>
      </c>
      <c r="AB116" s="48">
        <f t="shared" si="225"/>
        <v>4.2463006823774702E-3</v>
      </c>
      <c r="AC116" s="48">
        <f t="shared" si="226"/>
        <v>118.17711229802572</v>
      </c>
      <c r="AD116" s="48"/>
      <c r="AE116" s="48">
        <f t="shared" si="227"/>
        <v>-2.3570902672953853</v>
      </c>
      <c r="AF116" s="48">
        <f t="shared" si="228"/>
        <v>9.1738911930160476E-3</v>
      </c>
      <c r="AG116" s="48">
        <f t="shared" si="229"/>
        <v>6218.9978684911475</v>
      </c>
      <c r="AH116" s="33"/>
      <c r="AI116" s="48">
        <f t="shared" si="230"/>
        <v>-1.4287605266890742</v>
      </c>
      <c r="AJ116" s="48">
        <f t="shared" si="231"/>
        <v>2.2392419859138545E-2</v>
      </c>
      <c r="AK116" s="48">
        <f t="shared" si="232"/>
        <v>4833.275150059857</v>
      </c>
      <c r="AL116" s="33"/>
      <c r="AM116" s="33"/>
      <c r="AN116" s="48">
        <f t="shared" si="233"/>
        <v>0.23488324680767778</v>
      </c>
      <c r="AO116" s="48">
        <f t="shared" si="234"/>
        <v>0.35363680206065895</v>
      </c>
      <c r="AP116" s="48">
        <f t="shared" si="235"/>
        <v>0.39195841879662147</v>
      </c>
      <c r="AQ116" s="48">
        <f t="shared" si="236"/>
        <v>1.952153233504178E-2</v>
      </c>
      <c r="AR116" s="33"/>
      <c r="AS116" s="48"/>
      <c r="AT116" s="33">
        <f t="shared" si="237"/>
        <v>153371.3456820971</v>
      </c>
      <c r="AU116" s="33">
        <f t="shared" si="238"/>
        <v>173.16092649837611</v>
      </c>
      <c r="AV116" s="35">
        <f t="shared" si="239"/>
        <v>612.56566798318909</v>
      </c>
      <c r="AW116" s="33"/>
      <c r="AX116" s="35"/>
      <c r="AY116" s="33"/>
      <c r="AZ116" s="33"/>
      <c r="BA116" s="33"/>
      <c r="BB116" s="49"/>
      <c r="BD116" s="33"/>
      <c r="BE116" s="36"/>
      <c r="BF116" s="36"/>
      <c r="BG116" s="33"/>
      <c r="BH116" s="33"/>
      <c r="BI116" s="38"/>
    </row>
    <row r="117" spans="1:197" x14ac:dyDescent="0.55000000000000004">
      <c r="B117" s="37"/>
      <c r="C117" s="79" t="s">
        <v>336</v>
      </c>
      <c r="D117" s="158" t="s">
        <v>248</v>
      </c>
      <c r="E117" s="9" t="s">
        <v>341</v>
      </c>
      <c r="F117" s="179" t="s">
        <v>271</v>
      </c>
      <c r="H117" s="32">
        <v>6740</v>
      </c>
      <c r="J117" s="94">
        <f t="shared" si="219"/>
        <v>614.2943758936907</v>
      </c>
      <c r="K117" s="35"/>
      <c r="L117" s="23">
        <v>2.0870000000000002</v>
      </c>
      <c r="M117" s="127">
        <v>2.7776666666666663</v>
      </c>
      <c r="N117" s="127">
        <v>3.0786666666666669</v>
      </c>
      <c r="O117" s="127">
        <v>0.15333333333333335</v>
      </c>
      <c r="P117" s="33"/>
      <c r="Q117" s="23">
        <v>2.2010000000000001</v>
      </c>
      <c r="R117" s="23">
        <v>0.56100000000000005</v>
      </c>
      <c r="S117" s="23">
        <v>6.2E-2</v>
      </c>
      <c r="T117" s="23">
        <v>0.27300000000000002</v>
      </c>
      <c r="U117" s="33"/>
      <c r="V117" s="48">
        <f t="shared" si="220"/>
        <v>0.70438506484722718</v>
      </c>
      <c r="W117" s="33">
        <f t="shared" si="221"/>
        <v>0.18508926185346608</v>
      </c>
      <c r="X117" s="48">
        <f t="shared" si="222"/>
        <v>2.0455497744946337E-2</v>
      </c>
      <c r="Y117" s="48">
        <f t="shared" si="223"/>
        <v>9.007017555436049E-2</v>
      </c>
      <c r="Z117" s="48"/>
      <c r="AA117" s="48">
        <f t="shared" si="224"/>
        <v>-6.3853824783638227E-2</v>
      </c>
      <c r="AB117" s="48">
        <f t="shared" si="225"/>
        <v>4.3049750445494578E-3</v>
      </c>
      <c r="AC117" s="48">
        <f t="shared" si="226"/>
        <v>109.7622457171195</v>
      </c>
      <c r="AD117" s="48"/>
      <c r="AE117" s="48">
        <f t="shared" si="227"/>
        <v>-2.3402415829336571</v>
      </c>
      <c r="AF117" s="48">
        <f t="shared" si="228"/>
        <v>8.8576411371515881E-3</v>
      </c>
      <c r="AG117" s="48">
        <f t="shared" si="229"/>
        <v>6210.7389784949719</v>
      </c>
      <c r="AH117" s="33"/>
      <c r="AI117" s="48">
        <f t="shared" si="230"/>
        <v>-1.4680312764974657</v>
      </c>
      <c r="AJ117" s="48">
        <f t="shared" si="231"/>
        <v>2.251361578799204E-2</v>
      </c>
      <c r="AK117" s="48">
        <f t="shared" si="232"/>
        <v>4928.5109360567621</v>
      </c>
      <c r="AL117" s="33"/>
      <c r="AM117" s="33"/>
      <c r="AN117" s="48">
        <f t="shared" si="233"/>
        <v>0.23488324680767778</v>
      </c>
      <c r="AO117" s="48">
        <f t="shared" si="234"/>
        <v>0.35363680206065895</v>
      </c>
      <c r="AP117" s="48">
        <f t="shared" si="235"/>
        <v>0.39195841879662147</v>
      </c>
      <c r="AQ117" s="48">
        <f t="shared" si="236"/>
        <v>1.952153233504178E-2</v>
      </c>
      <c r="AR117" s="33"/>
      <c r="AS117" s="48"/>
      <c r="AT117" s="33">
        <f t="shared" si="237"/>
        <v>153368.97466810426</v>
      </c>
      <c r="AU117" s="33">
        <f t="shared" si="238"/>
        <v>172.82094386327682</v>
      </c>
      <c r="AV117" s="35">
        <f t="shared" si="239"/>
        <v>614.2943758936907</v>
      </c>
      <c r="AW117" s="33"/>
      <c r="AX117" s="35"/>
      <c r="AY117" s="33"/>
      <c r="AZ117" s="33"/>
      <c r="BA117" s="33"/>
      <c r="BB117" s="49"/>
      <c r="BD117" s="33"/>
      <c r="BE117" s="36"/>
      <c r="BF117" s="36"/>
      <c r="BG117" s="33"/>
      <c r="BH117" s="33"/>
      <c r="BI117" s="38"/>
    </row>
    <row r="118" spans="1:197" x14ac:dyDescent="0.55000000000000004">
      <c r="B118" s="37"/>
      <c r="C118" s="79" t="s">
        <v>336</v>
      </c>
      <c r="D118" s="158" t="s">
        <v>248</v>
      </c>
      <c r="E118" s="9" t="s">
        <v>342</v>
      </c>
      <c r="F118" s="179" t="s">
        <v>270</v>
      </c>
      <c r="H118" s="32">
        <v>6740</v>
      </c>
      <c r="J118" s="94">
        <f t="shared" si="219"/>
        <v>614.6529321217962</v>
      </c>
      <c r="K118" s="35"/>
      <c r="L118" s="23">
        <v>2.0870000000000002</v>
      </c>
      <c r="M118" s="127">
        <v>2.7776666666666663</v>
      </c>
      <c r="N118" s="127">
        <v>3.0786666666666669</v>
      </c>
      <c r="O118" s="127">
        <v>0.15333333333333335</v>
      </c>
      <c r="P118" s="33"/>
      <c r="Q118" s="23">
        <v>2.1909999999999998</v>
      </c>
      <c r="R118" s="23">
        <v>0.56000000000000005</v>
      </c>
      <c r="S118" s="23">
        <v>6.2E-2</v>
      </c>
      <c r="T118" s="23">
        <v>0.27300000000000002</v>
      </c>
      <c r="U118" s="33"/>
      <c r="V118" s="48">
        <f t="shared" si="220"/>
        <v>0.70366887728580552</v>
      </c>
      <c r="W118" s="33">
        <f t="shared" si="221"/>
        <v>0.18541388683793172</v>
      </c>
      <c r="X118" s="48">
        <f t="shared" si="222"/>
        <v>2.0527966042771011E-2</v>
      </c>
      <c r="Y118" s="48">
        <f t="shared" si="223"/>
        <v>9.0389269833491714E-2</v>
      </c>
      <c r="Z118" s="48"/>
      <c r="AA118" s="48">
        <f t="shared" si="224"/>
        <v>-6.2801494770185026E-2</v>
      </c>
      <c r="AB118" s="48">
        <f t="shared" si="225"/>
        <v>4.3166786734878887E-3</v>
      </c>
      <c r="AC118" s="48">
        <f t="shared" si="226"/>
        <v>108.00208110228101</v>
      </c>
      <c r="AD118" s="48"/>
      <c r="AE118" s="48">
        <f t="shared" si="227"/>
        <v>-2.340580473304068</v>
      </c>
      <c r="AF118" s="48">
        <f t="shared" si="228"/>
        <v>8.8111626240739895E-3</v>
      </c>
      <c r="AG118" s="48">
        <f t="shared" si="229"/>
        <v>6211.2398590560406</v>
      </c>
      <c r="AH118" s="33"/>
      <c r="AI118" s="48">
        <f t="shared" si="230"/>
        <v>-1.4733242163642188</v>
      </c>
      <c r="AJ118" s="48">
        <f t="shared" si="231"/>
        <v>2.2530313692482342E-2</v>
      </c>
      <c r="AK118" s="48">
        <f t="shared" si="232"/>
        <v>4944.4698343420423</v>
      </c>
      <c r="AL118" s="33"/>
      <c r="AM118" s="33"/>
      <c r="AN118" s="48">
        <f t="shared" si="233"/>
        <v>0.23488324680767778</v>
      </c>
      <c r="AO118" s="48">
        <f t="shared" si="234"/>
        <v>0.35363680206065895</v>
      </c>
      <c r="AP118" s="48">
        <f t="shared" si="235"/>
        <v>0.39195841879662147</v>
      </c>
      <c r="AQ118" s="48">
        <f t="shared" si="236"/>
        <v>1.952153233504178E-2</v>
      </c>
      <c r="AR118" s="33"/>
      <c r="AS118" s="48"/>
      <c r="AT118" s="33">
        <f t="shared" si="237"/>
        <v>153370.84356564298</v>
      </c>
      <c r="AU118" s="33">
        <f t="shared" si="238"/>
        <v>172.75325189464715</v>
      </c>
      <c r="AV118" s="35">
        <f t="shared" si="239"/>
        <v>614.6529321217962</v>
      </c>
      <c r="AW118" s="33"/>
      <c r="AX118" s="35"/>
      <c r="AY118" s="33"/>
      <c r="AZ118" s="33"/>
      <c r="BA118" s="33"/>
      <c r="BB118" s="49"/>
      <c r="BD118" s="33"/>
      <c r="BE118" s="36"/>
      <c r="BF118" s="36"/>
      <c r="BG118" s="33"/>
      <c r="BH118" s="33"/>
      <c r="BI118" s="38"/>
    </row>
    <row r="119" spans="1:197" x14ac:dyDescent="0.55000000000000004">
      <c r="B119" s="37"/>
      <c r="C119" s="79" t="s">
        <v>336</v>
      </c>
      <c r="D119" s="158" t="s">
        <v>248</v>
      </c>
      <c r="E119" s="9" t="s">
        <v>343</v>
      </c>
      <c r="F119" s="179" t="s">
        <v>269</v>
      </c>
      <c r="H119" s="32">
        <v>6740</v>
      </c>
      <c r="J119" s="94">
        <f t="shared" si="219"/>
        <v>613.81408347804211</v>
      </c>
      <c r="K119" s="35"/>
      <c r="L119" s="23">
        <v>2.0870000000000002</v>
      </c>
      <c r="M119" s="127">
        <v>2.7776666666666663</v>
      </c>
      <c r="N119" s="127">
        <v>3.0786666666666669</v>
      </c>
      <c r="O119" s="127">
        <v>0.15333333333333335</v>
      </c>
      <c r="P119" s="33"/>
      <c r="Q119" s="23">
        <v>2.2040000000000002</v>
      </c>
      <c r="R119" s="23">
        <v>0.56000000000000005</v>
      </c>
      <c r="S119" s="23">
        <v>5.7000000000000002E-2</v>
      </c>
      <c r="T119" s="23">
        <v>0.27800000000000002</v>
      </c>
      <c r="U119" s="33"/>
      <c r="V119" s="48">
        <f t="shared" si="220"/>
        <v>0.70490095223022342</v>
      </c>
      <c r="W119" s="33">
        <f t="shared" si="221"/>
        <v>0.18464297961013956</v>
      </c>
      <c r="X119" s="48">
        <f t="shared" si="222"/>
        <v>1.8794017567460634E-2</v>
      </c>
      <c r="Y119" s="48">
        <f t="shared" si="223"/>
        <v>9.1662050592176414E-2</v>
      </c>
      <c r="Z119" s="48"/>
      <c r="AA119" s="48">
        <f t="shared" si="224"/>
        <v>-6.1635944896546696E-2</v>
      </c>
      <c r="AB119" s="48">
        <f t="shared" si="225"/>
        <v>4.2875884563589161E-3</v>
      </c>
      <c r="AC119" s="48">
        <f t="shared" si="226"/>
        <v>113.02344945890246</v>
      </c>
      <c r="AD119" s="48"/>
      <c r="AE119" s="48">
        <f t="shared" si="227"/>
        <v>-2.3600587612930837</v>
      </c>
      <c r="AF119" s="48">
        <f t="shared" si="228"/>
        <v>9.0284974522613567E-3</v>
      </c>
      <c r="AG119" s="48">
        <f t="shared" si="229"/>
        <v>6218.8770307028035</v>
      </c>
      <c r="AH119" s="33"/>
      <c r="AI119" s="48">
        <f t="shared" si="230"/>
        <v>-1.4441692831810578</v>
      </c>
      <c r="AJ119" s="48">
        <f t="shared" si="231"/>
        <v>2.2427586712959642E-2</v>
      </c>
      <c r="AK119" s="48">
        <f t="shared" si="232"/>
        <v>4885.4295801584094</v>
      </c>
      <c r="AL119" s="33"/>
      <c r="AM119" s="33"/>
      <c r="AN119" s="48">
        <f t="shared" si="233"/>
        <v>0.23488324680767778</v>
      </c>
      <c r="AO119" s="48">
        <f t="shared" si="234"/>
        <v>0.35363680206065895</v>
      </c>
      <c r="AP119" s="48">
        <f t="shared" si="235"/>
        <v>0.39195841879662147</v>
      </c>
      <c r="AQ119" s="48">
        <f t="shared" si="236"/>
        <v>1.952153233504178E-2</v>
      </c>
      <c r="AR119" s="33"/>
      <c r="AS119" s="48"/>
      <c r="AT119" s="33">
        <f t="shared" si="237"/>
        <v>153375.12027373858</v>
      </c>
      <c r="AU119" s="33">
        <f t="shared" si="238"/>
        <v>172.92145548026079</v>
      </c>
      <c r="AV119" s="35">
        <f t="shared" si="239"/>
        <v>613.81408347804211</v>
      </c>
      <c r="AW119" s="33"/>
      <c r="AX119" s="35"/>
      <c r="AY119" s="33"/>
      <c r="AZ119" s="33"/>
      <c r="BA119" s="33"/>
      <c r="BB119" s="49"/>
      <c r="BD119" s="33"/>
      <c r="BE119" s="36"/>
      <c r="BF119" s="36"/>
      <c r="BG119" s="33"/>
      <c r="BH119" s="33"/>
      <c r="BI119" s="38"/>
    </row>
    <row r="120" spans="1:197" x14ac:dyDescent="0.55000000000000004">
      <c r="B120" s="37"/>
      <c r="C120" s="79" t="s">
        <v>336</v>
      </c>
      <c r="D120" s="158" t="s">
        <v>248</v>
      </c>
      <c r="E120" s="9" t="s">
        <v>344</v>
      </c>
      <c r="F120" s="179" t="s">
        <v>268</v>
      </c>
      <c r="H120" s="32">
        <v>6740</v>
      </c>
      <c r="J120" s="94">
        <f t="shared" si="219"/>
        <v>614.62158368417204</v>
      </c>
      <c r="K120" s="35"/>
      <c r="L120" s="23">
        <v>2.0870000000000002</v>
      </c>
      <c r="M120" s="127">
        <v>2.7776666666666663</v>
      </c>
      <c r="N120" s="127">
        <v>3.0786666666666669</v>
      </c>
      <c r="O120" s="127">
        <v>0.15333333333333335</v>
      </c>
      <c r="P120" s="33"/>
      <c r="Q120" s="23">
        <v>2.1859999999999999</v>
      </c>
      <c r="R120" s="23">
        <v>0.55800000000000005</v>
      </c>
      <c r="S120" s="23">
        <v>6.7000000000000004E-2</v>
      </c>
      <c r="T120" s="23">
        <v>0.26700000000000002</v>
      </c>
      <c r="U120" s="33"/>
      <c r="V120" s="48">
        <f t="shared" si="220"/>
        <v>0.70389255150344232</v>
      </c>
      <c r="W120" s="33">
        <f t="shared" si="221"/>
        <v>0.18523313482183759</v>
      </c>
      <c r="X120" s="48">
        <f t="shared" si="222"/>
        <v>2.2241254539539641E-2</v>
      </c>
      <c r="Y120" s="48">
        <f t="shared" si="223"/>
        <v>8.8633059135180353E-2</v>
      </c>
      <c r="Z120" s="48"/>
      <c r="AA120" s="48">
        <f t="shared" si="224"/>
        <v>-6.476343865002307E-2</v>
      </c>
      <c r="AB120" s="48">
        <f t="shared" si="225"/>
        <v>4.3152089770815364E-3</v>
      </c>
      <c r="AC120" s="48">
        <f t="shared" si="226"/>
        <v>103.85213674394367</v>
      </c>
      <c r="AD120" s="48"/>
      <c r="AE120" s="48">
        <f t="shared" si="227"/>
        <v>-2.3284973826680475</v>
      </c>
      <c r="AF120" s="48">
        <f t="shared" si="228"/>
        <v>8.7078796541459839E-3</v>
      </c>
      <c r="AG120" s="48">
        <f t="shared" si="229"/>
        <v>6218.5271578574393</v>
      </c>
      <c r="AH120" s="33"/>
      <c r="AI120" s="48">
        <f t="shared" si="230"/>
        <v>-1.4904819724628042</v>
      </c>
      <c r="AJ120" s="48">
        <f t="shared" si="231"/>
        <v>2.2650352465968197E-2</v>
      </c>
      <c r="AK120" s="48">
        <f t="shared" si="232"/>
        <v>4963.9498348546786</v>
      </c>
      <c r="AL120" s="33"/>
      <c r="AM120" s="33"/>
      <c r="AN120" s="48">
        <f t="shared" si="233"/>
        <v>0.23488324680767778</v>
      </c>
      <c r="AO120" s="48">
        <f t="shared" si="234"/>
        <v>0.35363680206065895</v>
      </c>
      <c r="AP120" s="48">
        <f t="shared" si="235"/>
        <v>0.39195841879662147</v>
      </c>
      <c r="AQ120" s="48">
        <f t="shared" si="236"/>
        <v>1.952153233504178E-2</v>
      </c>
      <c r="AR120" s="33"/>
      <c r="AS120" s="48"/>
      <c r="AT120" s="33">
        <f t="shared" si="237"/>
        <v>153381.59458733918</v>
      </c>
      <c r="AU120" s="33">
        <f t="shared" si="238"/>
        <v>172.77146217140606</v>
      </c>
      <c r="AV120" s="35">
        <f t="shared" si="239"/>
        <v>614.62158368417204</v>
      </c>
      <c r="AW120" s="33"/>
      <c r="AX120" s="35"/>
      <c r="AY120" s="33"/>
      <c r="AZ120" s="33"/>
      <c r="BA120" s="33"/>
      <c r="BB120" s="49"/>
      <c r="BD120" s="33"/>
      <c r="BE120" s="36"/>
      <c r="BF120" s="36"/>
      <c r="BG120" s="33"/>
      <c r="BH120" s="33"/>
      <c r="BI120" s="38"/>
    </row>
    <row r="121" spans="1:197" x14ac:dyDescent="0.55000000000000004">
      <c r="B121" s="37"/>
      <c r="C121" s="79" t="s">
        <v>336</v>
      </c>
      <c r="D121" s="158" t="s">
        <v>248</v>
      </c>
      <c r="E121" s="9" t="s">
        <v>345</v>
      </c>
      <c r="F121" s="179" t="s">
        <v>267</v>
      </c>
      <c r="H121" s="32">
        <v>6740</v>
      </c>
      <c r="J121" s="94">
        <f t="shared" si="219"/>
        <v>613.39054048966307</v>
      </c>
      <c r="K121" s="35"/>
      <c r="L121" s="23">
        <v>2.0870000000000002</v>
      </c>
      <c r="M121" s="127">
        <v>2.7776666666666663</v>
      </c>
      <c r="N121" s="127">
        <v>3.0786666666666669</v>
      </c>
      <c r="O121" s="127">
        <v>0.15333333333333335</v>
      </c>
      <c r="P121" s="33"/>
      <c r="Q121" s="23">
        <v>2.2000000000000002</v>
      </c>
      <c r="R121" s="23">
        <v>0.56000000000000005</v>
      </c>
      <c r="S121" s="23">
        <v>5.2999999999999999E-2</v>
      </c>
      <c r="T121" s="23">
        <v>0.26300000000000001</v>
      </c>
      <c r="U121" s="33"/>
      <c r="V121" s="48">
        <f t="shared" si="220"/>
        <v>0.70897009966777413</v>
      </c>
      <c r="W121" s="33">
        <f t="shared" si="221"/>
        <v>0.186046511627907</v>
      </c>
      <c r="X121" s="48">
        <f t="shared" si="222"/>
        <v>1.7607973421926913E-2</v>
      </c>
      <c r="Y121" s="48">
        <f t="shared" si="223"/>
        <v>8.7375415282392038E-2</v>
      </c>
      <c r="Z121" s="48"/>
      <c r="AA121" s="48">
        <f t="shared" si="224"/>
        <v>-8.3252315655026832E-2</v>
      </c>
      <c r="AB121" s="48">
        <f t="shared" si="225"/>
        <v>4.2976188559006546E-3</v>
      </c>
      <c r="AC121" s="48">
        <f t="shared" si="226"/>
        <v>151.70625046755831</v>
      </c>
      <c r="AD121" s="48"/>
      <c r="AE121" s="48">
        <f t="shared" si="227"/>
        <v>-2.262592565376333</v>
      </c>
      <c r="AF121" s="48">
        <f t="shared" si="228"/>
        <v>9.0353283182686185E-3</v>
      </c>
      <c r="AG121" s="48">
        <f t="shared" si="229"/>
        <v>6038.6009681307178</v>
      </c>
      <c r="AH121" s="33"/>
      <c r="AI121" s="48">
        <f t="shared" si="230"/>
        <v>-1.4339150407353247</v>
      </c>
      <c r="AJ121" s="48">
        <f t="shared" si="231"/>
        <v>2.1795294102310733E-2</v>
      </c>
      <c r="AK121" s="48">
        <f t="shared" si="232"/>
        <v>4881.5173512280335</v>
      </c>
      <c r="AL121" s="33"/>
      <c r="AM121" s="33"/>
      <c r="AN121" s="48">
        <f t="shared" si="233"/>
        <v>0.23488324680767778</v>
      </c>
      <c r="AO121" s="48">
        <f t="shared" si="234"/>
        <v>0.35363680206065895</v>
      </c>
      <c r="AP121" s="48">
        <f t="shared" si="235"/>
        <v>0.39195841879662147</v>
      </c>
      <c r="AQ121" s="48">
        <f t="shared" si="236"/>
        <v>1.952153233504178E-2</v>
      </c>
      <c r="AR121" s="33"/>
      <c r="AS121" s="48"/>
      <c r="AT121" s="33">
        <f t="shared" si="237"/>
        <v>153156.1398453018</v>
      </c>
      <c r="AU121" s="33">
        <f t="shared" si="238"/>
        <v>172.75706281938224</v>
      </c>
      <c r="AV121" s="35">
        <f t="shared" si="239"/>
        <v>613.39054048966307</v>
      </c>
      <c r="AW121" s="33"/>
      <c r="AX121" s="35"/>
      <c r="AY121" s="33"/>
      <c r="AZ121" s="33"/>
      <c r="BA121" s="33"/>
      <c r="BB121" s="49"/>
      <c r="BD121" s="33"/>
      <c r="BE121" s="36"/>
      <c r="BF121" s="36"/>
      <c r="BG121" s="33"/>
      <c r="BH121" s="33"/>
      <c r="BI121" s="38"/>
    </row>
    <row r="122" spans="1:197" x14ac:dyDescent="0.55000000000000004">
      <c r="B122" s="37"/>
      <c r="C122" s="79" t="s">
        <v>336</v>
      </c>
      <c r="D122" s="158" t="s">
        <v>248</v>
      </c>
      <c r="E122" s="9" t="s">
        <v>346</v>
      </c>
      <c r="F122" s="179" t="s">
        <v>266</v>
      </c>
      <c r="H122" s="32">
        <v>6740</v>
      </c>
      <c r="J122" s="94">
        <f t="shared" si="219"/>
        <v>613.80461108099996</v>
      </c>
      <c r="K122" s="35"/>
      <c r="L122" s="23">
        <v>2.0870000000000002</v>
      </c>
      <c r="M122" s="127">
        <v>2.7776666666666663</v>
      </c>
      <c r="N122" s="127">
        <v>3.0786666666666669</v>
      </c>
      <c r="O122" s="127">
        <v>0.15333333333333335</v>
      </c>
      <c r="P122" s="33"/>
      <c r="Q122" s="23">
        <v>2.202</v>
      </c>
      <c r="R122" s="23">
        <v>0.56399999999999995</v>
      </c>
      <c r="S122" s="23">
        <v>4.8000000000000001E-2</v>
      </c>
      <c r="T122" s="23">
        <v>0.26300000000000001</v>
      </c>
      <c r="U122" s="33"/>
      <c r="V122" s="48">
        <f t="shared" si="220"/>
        <v>0.70939307990195755</v>
      </c>
      <c r="W122" s="33">
        <f t="shared" si="221"/>
        <v>0.18731691764033823</v>
      </c>
      <c r="X122" s="48">
        <f t="shared" si="222"/>
        <v>1.5941865331092618E-2</v>
      </c>
      <c r="Y122" s="48">
        <f t="shared" si="223"/>
        <v>8.734813712661163E-2</v>
      </c>
      <c r="Z122" s="48"/>
      <c r="AA122" s="48">
        <f t="shared" si="224"/>
        <v>-8.9558482907059575E-2</v>
      </c>
      <c r="AB122" s="48">
        <f t="shared" si="225"/>
        <v>4.3216374435296051E-3</v>
      </c>
      <c r="AC122" s="48">
        <f t="shared" si="226"/>
        <v>169.03079973933342</v>
      </c>
      <c r="AD122" s="48"/>
      <c r="AE122" s="48">
        <f t="shared" si="227"/>
        <v>-2.2298228298223148</v>
      </c>
      <c r="AF122" s="48">
        <f t="shared" si="228"/>
        <v>9.0371900670273408E-3</v>
      </c>
      <c r="AG122" s="48">
        <f t="shared" si="229"/>
        <v>5955.5898449563365</v>
      </c>
      <c r="AH122" s="33"/>
      <c r="AI122" s="48">
        <f t="shared" si="230"/>
        <v>-1.4252858801910102</v>
      </c>
      <c r="AJ122" s="48">
        <f t="shared" si="231"/>
        <v>2.1454951539091442E-2</v>
      </c>
      <c r="AK122" s="48">
        <f t="shared" si="232"/>
        <v>4891.4897949533724</v>
      </c>
      <c r="AL122" s="33"/>
      <c r="AM122" s="33"/>
      <c r="AN122" s="48">
        <f t="shared" si="233"/>
        <v>0.23488324680767778</v>
      </c>
      <c r="AO122" s="48">
        <f t="shared" si="234"/>
        <v>0.35363680206065895</v>
      </c>
      <c r="AP122" s="48">
        <f t="shared" si="235"/>
        <v>0.39195841879662147</v>
      </c>
      <c r="AQ122" s="48">
        <f t="shared" si="236"/>
        <v>1.952153233504178E-2</v>
      </c>
      <c r="AR122" s="33"/>
      <c r="AS122" s="48"/>
      <c r="AT122" s="33">
        <f t="shared" si="237"/>
        <v>153055.65483576164</v>
      </c>
      <c r="AU122" s="33">
        <f t="shared" si="238"/>
        <v>172.56311983002254</v>
      </c>
      <c r="AV122" s="35">
        <f t="shared" si="239"/>
        <v>613.80461108099996</v>
      </c>
      <c r="AW122" s="33"/>
      <c r="AX122" s="35"/>
      <c r="AY122" s="33"/>
      <c r="AZ122" s="33"/>
      <c r="BA122" s="33"/>
      <c r="BB122" s="49"/>
      <c r="BD122" s="33"/>
      <c r="BE122" s="36"/>
      <c r="BF122" s="36"/>
      <c r="BG122" s="33"/>
      <c r="BH122" s="33"/>
      <c r="BI122" s="38"/>
    </row>
    <row r="123" spans="1:197" x14ac:dyDescent="0.55000000000000004">
      <c r="B123" s="37"/>
      <c r="C123" s="79" t="s">
        <v>336</v>
      </c>
      <c r="D123" s="158" t="s">
        <v>248</v>
      </c>
      <c r="E123" s="130" t="s">
        <v>347</v>
      </c>
      <c r="F123" s="179" t="s">
        <v>324</v>
      </c>
      <c r="H123" s="32">
        <v>6740</v>
      </c>
      <c r="J123" s="94">
        <f t="shared" si="219"/>
        <v>613.03650848380119</v>
      </c>
      <c r="K123" s="35"/>
      <c r="L123" s="23">
        <v>2.0870000000000002</v>
      </c>
      <c r="M123" s="127">
        <v>2.7776666666666663</v>
      </c>
      <c r="N123" s="127">
        <v>3.0786666666666669</v>
      </c>
      <c r="O123" s="127">
        <v>0.15333333333333335</v>
      </c>
      <c r="P123" s="33"/>
      <c r="Q123" s="23">
        <v>2.2040000000000002</v>
      </c>
      <c r="R123" s="23">
        <v>0.55900000000000005</v>
      </c>
      <c r="S123" s="23">
        <v>5.7000000000000002E-2</v>
      </c>
      <c r="T123" s="23">
        <v>0.25800000000000001</v>
      </c>
      <c r="U123" s="33"/>
      <c r="V123" s="48">
        <f t="shared" si="220"/>
        <v>0.70981579611405499</v>
      </c>
      <c r="W123" s="33">
        <f t="shared" si="221"/>
        <v>0.18559836381263531</v>
      </c>
      <c r="X123" s="48">
        <f t="shared" si="222"/>
        <v>1.8925056775170326E-2</v>
      </c>
      <c r="Y123" s="48">
        <f t="shared" si="223"/>
        <v>8.5660783298139365E-2</v>
      </c>
      <c r="Z123" s="48"/>
      <c r="AA123" s="48">
        <f t="shared" si="224"/>
        <v>-8.5776438661675239E-2</v>
      </c>
      <c r="AB123" s="48">
        <f t="shared" si="225"/>
        <v>4.2861518721922084E-3</v>
      </c>
      <c r="AC123" s="48">
        <f t="shared" si="226"/>
        <v>149.88477321974472</v>
      </c>
      <c r="AD123" s="48"/>
      <c r="AE123" s="48">
        <f t="shared" si="227"/>
        <v>-2.2526897588625614</v>
      </c>
      <c r="AF123" s="48">
        <f t="shared" si="228"/>
        <v>8.9959715759630118E-3</v>
      </c>
      <c r="AG123" s="48">
        <f t="shared" si="229"/>
        <v>6044.4538532268025</v>
      </c>
      <c r="AH123" s="33"/>
      <c r="AI123" s="48">
        <f t="shared" si="230"/>
        <v>-1.4429746704778097</v>
      </c>
      <c r="AJ123" s="48">
        <f t="shared" si="231"/>
        <v>2.1879701942399164E-2</v>
      </c>
      <c r="AK123" s="48">
        <f t="shared" si="232"/>
        <v>4882.5901233988179</v>
      </c>
      <c r="AL123" s="33"/>
      <c r="AM123" s="33"/>
      <c r="AN123" s="48">
        <f t="shared" si="233"/>
        <v>0.23488324680767778</v>
      </c>
      <c r="AO123" s="48">
        <f t="shared" si="234"/>
        <v>0.35363680206065895</v>
      </c>
      <c r="AP123" s="48">
        <f t="shared" si="235"/>
        <v>0.39195841879662147</v>
      </c>
      <c r="AQ123" s="48">
        <f t="shared" si="236"/>
        <v>1.952153233504178E-2</v>
      </c>
      <c r="AR123" s="33"/>
      <c r="AS123" s="48"/>
      <c r="AT123" s="33">
        <f t="shared" si="237"/>
        <v>153163.62623067276</v>
      </c>
      <c r="AU123" s="33">
        <f t="shared" si="238"/>
        <v>172.83452722917693</v>
      </c>
      <c r="AV123" s="35">
        <f t="shared" si="239"/>
        <v>613.03650848380119</v>
      </c>
      <c r="AW123" s="33"/>
      <c r="AX123" s="35"/>
      <c r="AY123" s="33"/>
      <c r="AZ123" s="33"/>
      <c r="BA123" s="33"/>
      <c r="BB123" s="49"/>
      <c r="BD123" s="33"/>
      <c r="BE123" s="36"/>
      <c r="BF123" s="36"/>
      <c r="BG123" s="33"/>
      <c r="BH123" s="33"/>
      <c r="BI123" s="38"/>
    </row>
    <row r="124" spans="1:197" s="88" customFormat="1" x14ac:dyDescent="0.55000000000000004">
      <c r="C124" s="135"/>
      <c r="D124" s="141"/>
      <c r="E124" s="135"/>
      <c r="F124" s="141"/>
      <c r="H124" s="168"/>
      <c r="I124" s="88" t="s">
        <v>59</v>
      </c>
      <c r="J124" s="152">
        <f>AVERAGE(J113:J123)</f>
        <v>613.75917744975357</v>
      </c>
      <c r="K124" s="104"/>
      <c r="L124" s="169"/>
      <c r="M124" s="169"/>
      <c r="N124" s="169"/>
      <c r="O124" s="169"/>
      <c r="P124" s="103"/>
      <c r="Q124" s="169"/>
      <c r="R124" s="169"/>
      <c r="S124" s="169"/>
      <c r="T124" s="169"/>
      <c r="U124" s="103"/>
      <c r="V124" s="105"/>
      <c r="W124" s="103"/>
      <c r="X124" s="105"/>
      <c r="Y124" s="105"/>
      <c r="Z124" s="105"/>
      <c r="AA124" s="105"/>
      <c r="AB124" s="105"/>
      <c r="AC124" s="105"/>
      <c r="AD124" s="105"/>
      <c r="AE124" s="105"/>
      <c r="AF124" s="105"/>
      <c r="AG124" s="105"/>
      <c r="AH124" s="103"/>
      <c r="AI124" s="105"/>
      <c r="AJ124" s="105"/>
      <c r="AK124" s="105"/>
      <c r="AL124" s="103"/>
      <c r="AM124" s="103"/>
      <c r="AN124" s="105"/>
      <c r="AO124" s="105"/>
      <c r="AP124" s="105"/>
      <c r="AQ124" s="105"/>
      <c r="AR124" s="103"/>
      <c r="AS124" s="105"/>
      <c r="AT124" s="103"/>
      <c r="AU124" s="103"/>
      <c r="AV124" s="104"/>
      <c r="AW124" s="103"/>
      <c r="AX124" s="104"/>
      <c r="AY124" s="103"/>
      <c r="AZ124" s="103"/>
      <c r="BA124" s="103"/>
      <c r="BB124" s="106"/>
      <c r="BD124" s="103"/>
      <c r="BE124" s="107"/>
      <c r="BF124" s="107"/>
      <c r="BG124" s="103"/>
      <c r="BH124" s="103"/>
      <c r="BI124" s="108"/>
    </row>
    <row r="125" spans="1:197" s="46" customFormat="1" x14ac:dyDescent="0.55000000000000004">
      <c r="B125" s="145"/>
      <c r="D125" s="145"/>
      <c r="F125" s="145"/>
      <c r="H125" s="40"/>
      <c r="I125" s="145"/>
      <c r="J125" s="154"/>
      <c r="K125" s="43"/>
      <c r="L125" s="96"/>
      <c r="M125" s="96"/>
      <c r="N125" s="96"/>
      <c r="O125" s="96"/>
      <c r="P125" s="41"/>
      <c r="Q125" s="96"/>
      <c r="R125" s="96"/>
      <c r="S125" s="96"/>
      <c r="T125" s="96"/>
      <c r="U125" s="41"/>
      <c r="V125" s="52"/>
      <c r="W125" s="41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41"/>
      <c r="AI125" s="52"/>
      <c r="AJ125" s="52"/>
      <c r="AK125" s="52"/>
      <c r="AL125" s="41"/>
      <c r="AM125" s="41"/>
      <c r="AN125" s="52"/>
      <c r="AO125" s="52"/>
      <c r="AP125" s="52"/>
      <c r="AQ125" s="52"/>
      <c r="AR125" s="41"/>
      <c r="AS125" s="52"/>
      <c r="AT125" s="41"/>
      <c r="AU125" s="41"/>
      <c r="AV125" s="43"/>
      <c r="AW125" s="41"/>
      <c r="AX125" s="43"/>
      <c r="AY125" s="41"/>
      <c r="AZ125" s="41"/>
      <c r="BA125" s="41"/>
      <c r="BB125" s="77"/>
      <c r="BD125" s="41"/>
      <c r="BE125" s="44"/>
      <c r="BF125" s="44"/>
      <c r="BG125" s="41"/>
      <c r="BH125" s="41"/>
      <c r="BI125" s="45"/>
    </row>
    <row r="126" spans="1:197" x14ac:dyDescent="0.55000000000000004">
      <c r="H126" s="23"/>
      <c r="J126" s="19"/>
      <c r="L126" s="23"/>
      <c r="M126" s="23"/>
      <c r="N126" s="23"/>
      <c r="O126" s="23"/>
      <c r="Q126" s="23"/>
      <c r="R126" s="23"/>
      <c r="S126" s="23"/>
      <c r="T126" s="23"/>
    </row>
    <row r="127" spans="1:197" s="92" customFormat="1" x14ac:dyDescent="0.55000000000000004">
      <c r="A127" s="37" t="s">
        <v>68</v>
      </c>
      <c r="B127" s="47" t="s">
        <v>198</v>
      </c>
      <c r="C127" s="135" t="s">
        <v>54</v>
      </c>
      <c r="D127" s="158" t="s">
        <v>206</v>
      </c>
      <c r="E127" t="s">
        <v>367</v>
      </c>
      <c r="F127" s="158" t="s">
        <v>362</v>
      </c>
      <c r="G127" s="37"/>
      <c r="H127" s="32">
        <v>4720</v>
      </c>
      <c r="I127" s="33"/>
      <c r="J127" s="94">
        <f t="shared" ref="J127:J137" si="240">AV127</f>
        <v>579.3812005048311</v>
      </c>
      <c r="K127" s="35"/>
      <c r="L127" s="23">
        <v>2.617</v>
      </c>
      <c r="M127" s="23">
        <v>1.6339999999999999</v>
      </c>
      <c r="N127" s="23">
        <v>3.6560000000000001</v>
      </c>
      <c r="O127" s="23">
        <v>0.34899999999999998</v>
      </c>
      <c r="P127" s="33"/>
      <c r="Q127" s="23">
        <v>2.4020000000000001</v>
      </c>
      <c r="R127" s="23">
        <v>0.21199999999999999</v>
      </c>
      <c r="S127" s="23">
        <v>0.114</v>
      </c>
      <c r="T127" s="23">
        <v>0.21199999999999999</v>
      </c>
      <c r="U127" s="33"/>
      <c r="V127" s="48">
        <f t="shared" ref="V127:V137" si="241">Q127*0.97/(Q127*0.97+R127+S127+T127)</f>
        <v>0.81240890674142408</v>
      </c>
      <c r="W127" s="33">
        <f t="shared" ref="W127:W137" si="242">R127/(Q127*0.97+R127+S127+T127)</f>
        <v>7.392065384910422E-2</v>
      </c>
      <c r="X127" s="48">
        <f t="shared" ref="X127:X137" si="243">S127/(Q127*0.97+R127+S127+T127)</f>
        <v>3.9749785560367366E-2</v>
      </c>
      <c r="Y127" s="48">
        <f t="shared" ref="Y127:Y137" si="244">T127/(Q127*0.97+R127+S127+T127)</f>
        <v>7.392065384910422E-2</v>
      </c>
      <c r="Z127" s="48"/>
      <c r="AA127" s="48">
        <f t="shared" ref="AA127:AA137" si="245">5.993*W127*W127-9.67*X127*X127-11.006*V127*W127+0.674*V127*X127-9.5725*W127*X127-22.765*W127*Y127-4.6665*X127*Y127+11.006*V127*V127*W127-0.674*V127*V127*X127-11.986*W127*W127*V127+37.966*W127*W127*X127+46.02*W127*W127*Y127+19.34*X127*X127*V127+25.746*X127*X127*W127+46.02*Y127*Y127*W127+19.145*V127*W127*X127+45.53*V127*W127*Y127+9.333*V127*X127*Y127+77.876*W127*X127*Y127</f>
        <v>3.8390346145183801E-2</v>
      </c>
      <c r="AB127" s="48">
        <f t="shared" ref="AB127:AB137" si="246">-0.034*W127*W127+0.135*X127*X127+0.024*Y127*Y127+0.1*V127*W127+0.08*V127*X127+0.048*V127*Y127-0.0515*W127*X127+0.07*W127*Y127+0.1765*X127*Y127-0.1*V127*V127*W127-0.08*V127*V127*X127-0.048*V127*V127*Y127+0.068*W127*W127*V127-0.136*W127*W127*X127-0.076*W127*W127*Y127-0.27*X127*X127*V127-0.28*X127*X127*W127-0.13*X127*X127*Y127-0.048*Y127*Y127*V127-0.076*Y127*Y127*W127-0.13*Y127*Y127*X127+0.103*V127*W127*X127-0.14*V127*W127*Y127-0.353*V127*X127*Y127-0.414*W127*X127*Y127</f>
        <v>1.3273347745326176E-3</v>
      </c>
      <c r="AC127" s="48">
        <f t="shared" ref="AC127:AC137" si="247">-5672*W127*W127+19932*X127*X127+1617*Y127*Y127+23244*V127*W127-2608*V127*X127+3234*V127*Y127+31326.5*W127*X127+45841*W127*Y127+12356*X127*Y127-23244*V127*V127*W127+2608*V127*V127*X127-3234*V127*V127*Y127+11344*W127*W127*V127-132228*W127*W127*X127-82498*W127*W127*Y127-39864*X127*X127*V127-51518*X127*X127*W127-2850*X127*X127*Y127-3234*Y127*Y127*V127-82498*Y127*Y127*W127-2850*Y127*Y127*X127-62653*V127*W127*X127-91682*V127*W127*Y127-24712*V127*X127*Y127-177221*W127*X127*Y127</f>
        <v>-100.87725480026702</v>
      </c>
      <c r="AD127" s="48"/>
      <c r="AE127" s="48">
        <f t="shared" ref="AE127:AE137" si="248">-5.503*V127*V127-12.873*X127*X127-23.01*Y127*Y127+11.986*V127*W127-9.5725*V127*X127-22.765*V127*Y127-37.966*W127*X127-46.02*W127*Y127-38.938*X127*Y127+11.006*V127*V127*W127-0.674*V127*V127*X127-11.986*W127*W127*V127+37.966*W127*W127*X127+46.02*W127*W127*Y127+19.34*X127*X127*V127+25.746*X127*X127*W127+46.02*Y127*Y127*W127+19.145*V127*W127*X127+45.53*V127*W127*Y127+9.333*V127*X127*Y127+77.876*W127*X127*Y127</f>
        <v>-4.3856365866394924</v>
      </c>
      <c r="AF127" s="48">
        <f t="shared" ref="AF127:AF137" si="249">0.05*V127*V127+0.14*X127*X127+0.038*Y127*Y127-0.068*V127*W127-0.0515*V127*X127+0.07*V127*Y127+0.136*W127*X127+0.076*W127*Y127+0.207*X127*Y127-0.1*V127*V127*W127-0.08*V127*V127*X127-0.048*V127*V127*Y127+0.068*W127*W127*V127-0.136*W127*W127*X127-0.076*W127*W127*Y127-0.27*X127*X127*V127-0.28*X127*X127*W127-0.13*X127*X127*Y127-0.048*Y127*Y127*V127-0.076*Y127*Y127*W127-0.13*Y127*Y127*X127+0.103*V127*W127*X127-0.14*V127*W127*Y127-0.353*V127*X127*Y127-0.414*W127*X127*Y127</f>
        <v>2.2256878321024638E-2</v>
      </c>
      <c r="AG127" s="48">
        <f t="shared" ref="AG127:AG137" si="250">11622*V127*V127+25759*X127*X127+41249*Y127*Y127-11344*V127*W127+31326.5*V127*X127+45841*V127*Y127+132228*W127*X127+82498*W127*Y127+88610.5*X127*Y127-23244*V127*V127*W127+2608*V127*V127*X127-3234*V127*V127*Y127+11344*W127*W127*V127-132228*W127*W127*X127-82498*W127*W127*Y127-39864*X127*X127*V127-51518*X127*X127*W127-2850*X127*X127*Y127-3234*Y127*Y127*V127-82498*Y127*Y127*W127-2850*Y127*Y127*X127-62653*V127*W127*X127-91682*V127*W127*Y127-24712*V127*X127*Y127-177221*W127*X127*Y127</f>
        <v>10124.765538980429</v>
      </c>
      <c r="AH127" s="33"/>
      <c r="AI127" s="48">
        <f t="shared" ref="AI127:AI137" si="251">0.337*V127*V127-18.983*W127*W127-9.5725*V127*W127-19.34*V127*X127-4.6665*V127*Y127-25.746*W127*X127-38.938*W127*Y127+11.006*V127*V127*W127-0.674*V127*V127*X127-11.986*W127*W127*V127+37.966*W127*W127*X127+46.02*W127*W127*Y127+19.34*X127*X127*V127+25.746*X127*X127*W127+46.02*Y127*Y127*W127+19.145*V127*W127*X127+45.53*V127*W127*Y127+9.333*V127*X127*Y127+77.876*W127*X127*Y127</f>
        <v>-0.8230357933201885</v>
      </c>
      <c r="AJ127" s="48">
        <f t="shared" ref="AJ127:AJ137" si="252">0.04*V127*V127+0.068*W127*W127+0.065*Y127*Y127-0.0515*V127*W127+0.27*V127*X127+0.1765*V127*Y127+0.28*W127*X127+0.207*W127*Y127+0.13*X127*Y127-0.1*V127*V127*W127-0.08*V127*V127*X127-0.048*V127*V127*Y127+0.068*W127*W127*V127-0.136*W127*W127*X127-0.076*W127*W127*Y127-0.27*X127*X127*V127-0.28*X127*X127*W127-0.13*X127*X127*Y127-0.048*Y127*Y127*V127-0.076*Y127*Y127*W127-0.13*Y127*Y127*X127+0.103*V127*W127*X127-0.14*V127*W127*Y127-0.353*V127*X127*Y127-0.414*W127*X127*Y127</f>
        <v>3.4636223479993261E-2</v>
      </c>
      <c r="AK127" s="48">
        <f t="shared" ref="AK127:AK137" si="253">-1304*V127*V127+66114*W127*W127+1425*Y127*Y127+31326.5*V127*W127+39864*V127*X127+12356*V127*Y127+51518*W127*X127+88610.5*W127*Y127+2850*X127*Y127-23244*V127*V127*W127+2608*V127*V127*X127-3234*V127*V127*Y127+11344*W127*W127*V127-132228*W127*W127*X127-82498*W127*W127*Y127-39864*X127*X127*V127-51518*X127*X127*W127-2850*X127*X127*Y127-3234*Y127*Y127*V127-82498*Y127*Y127*W127-2850*Y127*Y127*X127-62653*V127*W127*X127-91682*V127*W127*Y127-24712*V127*X127*Y127-177221*W127*X127*Y127</f>
        <v>2068.0355678353253</v>
      </c>
      <c r="AL127" s="33"/>
      <c r="AM127" s="33"/>
      <c r="AN127" s="48">
        <f t="shared" ref="AN127:AN137" si="254">L127*0.884/(L127*0.884+M127+N127+O127)</f>
        <v>0.29090838672164021</v>
      </c>
      <c r="AO127" s="48">
        <f t="shared" ref="AO127:AO137" si="255">M127/(L127*0.884+M127+N127+O127)</f>
        <v>0.20547183828636989</v>
      </c>
      <c r="AP127" s="48">
        <f t="shared" ref="AP127:AP137" si="256">N127/(L127*0.884+M127+N127+O127)</f>
        <v>0.45973380708382394</v>
      </c>
      <c r="AQ127" s="48">
        <f t="shared" ref="AQ127:AQ137" si="257">O127/(L127*0.884+M127+N127+O127)</f>
        <v>4.3885967908165902E-2</v>
      </c>
      <c r="AR127" s="33"/>
      <c r="AS127" s="48"/>
      <c r="AT127" s="33">
        <f t="shared" ref="AT127:AT137" si="258">40198+(0.295-(AB127-AF127))*H127-(AC127-AG127)+22998*(AO127-AN127)+245559*AP127+310990*AQ127</f>
        <v>176489.83159186301</v>
      </c>
      <c r="AU127" s="33">
        <f t="shared" ref="AU127:AU137" si="259">7.802+3*8.3144*LN((V127/W127)/(AN127/AO127))+(AA127-AE127)+17.396*(AO127-AN127)+280.396*AP127+370.39*AQ127</f>
        <v>207.01861877589181</v>
      </c>
      <c r="AV127" s="35">
        <f t="shared" ref="AV127:AV137" si="260">AT127/AU127-273.15</f>
        <v>579.3812005048311</v>
      </c>
      <c r="AW127" s="33"/>
      <c r="AX127" s="35"/>
      <c r="AY127" s="33"/>
      <c r="AZ127" s="33"/>
      <c r="BA127" s="33"/>
      <c r="BB127" s="34"/>
      <c r="BC127" s="35"/>
      <c r="BD127" s="33"/>
      <c r="BE127" s="36"/>
      <c r="BF127" s="37"/>
      <c r="BG127" s="33"/>
      <c r="BH127" s="33"/>
      <c r="BI127" s="38"/>
      <c r="BJ127" s="37"/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7"/>
      <c r="BY127" s="37"/>
      <c r="BZ127" s="37"/>
      <c r="CA127" s="37"/>
      <c r="CB127" s="37"/>
      <c r="CC127" s="37"/>
      <c r="CD127" s="37"/>
      <c r="CE127" s="37"/>
      <c r="CF127" s="37"/>
      <c r="CG127" s="37"/>
      <c r="CH127" s="37"/>
      <c r="CI127" s="37"/>
      <c r="CJ127" s="37"/>
      <c r="CK127" s="37"/>
      <c r="CL127" s="37"/>
      <c r="CM127" s="37"/>
      <c r="CN127" s="37"/>
      <c r="CO127" s="37"/>
      <c r="CP127" s="37"/>
      <c r="CQ127" s="37"/>
      <c r="CR127" s="37"/>
      <c r="CS127" s="37"/>
      <c r="CT127" s="37"/>
      <c r="CU127" s="37"/>
      <c r="CV127" s="37"/>
      <c r="CW127" s="37"/>
      <c r="CX127" s="37"/>
      <c r="CY127" s="37"/>
      <c r="CZ127" s="37"/>
      <c r="DA127" s="37"/>
      <c r="DB127" s="37"/>
      <c r="DC127" s="37"/>
      <c r="DD127" s="37"/>
      <c r="DE127" s="37"/>
      <c r="DF127" s="37"/>
      <c r="DG127" s="37"/>
      <c r="DH127" s="37"/>
      <c r="DI127" s="37"/>
      <c r="DJ127" s="37"/>
      <c r="DK127" s="37"/>
      <c r="DL127" s="37"/>
      <c r="DM127" s="37"/>
      <c r="DN127" s="37"/>
      <c r="DO127" s="37"/>
      <c r="DP127" s="37"/>
      <c r="DQ127" s="37"/>
      <c r="DR127" s="37"/>
      <c r="DS127" s="37"/>
      <c r="DT127" s="37"/>
      <c r="DU127" s="37"/>
      <c r="DV127" s="37"/>
      <c r="DW127" s="37"/>
      <c r="DX127" s="37"/>
      <c r="DY127" s="37"/>
      <c r="DZ127" s="37"/>
      <c r="EA127" s="37"/>
      <c r="EB127" s="37"/>
      <c r="EC127" s="37"/>
      <c r="ED127" s="37"/>
      <c r="EE127" s="37"/>
      <c r="EF127" s="37"/>
      <c r="EG127" s="37"/>
      <c r="EH127" s="37"/>
      <c r="EI127" s="37"/>
      <c r="EJ127" s="37"/>
      <c r="EK127" s="37"/>
      <c r="EL127" s="37"/>
      <c r="EM127" s="37"/>
      <c r="EN127" s="37"/>
      <c r="EO127" s="37"/>
      <c r="EP127" s="37"/>
      <c r="EQ127" s="37"/>
      <c r="ER127" s="37"/>
      <c r="ES127" s="37"/>
      <c r="ET127" s="37"/>
      <c r="EU127" s="37"/>
      <c r="EV127" s="37"/>
      <c r="EW127" s="37"/>
      <c r="EX127" s="37"/>
      <c r="EY127" s="37"/>
      <c r="EZ127" s="37"/>
      <c r="FA127" s="37"/>
      <c r="FB127" s="37"/>
      <c r="FC127" s="37"/>
      <c r="FD127" s="37"/>
      <c r="FE127" s="37"/>
      <c r="FF127" s="37"/>
      <c r="FG127" s="37"/>
      <c r="FH127" s="37"/>
      <c r="FI127" s="37"/>
      <c r="FJ127" s="37"/>
      <c r="FK127" s="37"/>
      <c r="FL127" s="37"/>
      <c r="FM127" s="37"/>
      <c r="FN127" s="37"/>
      <c r="FO127" s="37"/>
      <c r="FP127" s="37"/>
      <c r="FQ127" s="37"/>
      <c r="FR127" s="37"/>
      <c r="FS127" s="37"/>
      <c r="FT127" s="37"/>
      <c r="FU127" s="37"/>
      <c r="FV127" s="37"/>
      <c r="FW127" s="37"/>
      <c r="FX127" s="37"/>
      <c r="FY127" s="37"/>
      <c r="FZ127" s="37"/>
      <c r="GA127" s="37"/>
      <c r="GB127" s="37"/>
      <c r="GC127" s="37"/>
      <c r="GD127" s="37"/>
      <c r="GE127" s="37"/>
      <c r="GF127" s="37"/>
      <c r="GG127" s="37"/>
      <c r="GH127" s="37"/>
      <c r="GI127" s="37"/>
      <c r="GJ127" s="37"/>
      <c r="GK127" s="37"/>
      <c r="GL127" s="37"/>
      <c r="GM127" s="37"/>
      <c r="GN127" s="37"/>
      <c r="GO127" s="37"/>
    </row>
    <row r="128" spans="1:197" s="92" customFormat="1" x14ac:dyDescent="0.55000000000000004">
      <c r="A128" s="37"/>
      <c r="B128" s="47"/>
      <c r="C128" s="135" t="s">
        <v>55</v>
      </c>
      <c r="D128" s="158" t="s">
        <v>230</v>
      </c>
      <c r="E128" t="s">
        <v>368</v>
      </c>
      <c r="F128" s="158" t="s">
        <v>239</v>
      </c>
      <c r="G128" s="37"/>
      <c r="H128" s="32">
        <v>4720</v>
      </c>
      <c r="I128" s="33"/>
      <c r="J128" s="94">
        <f t="shared" si="240"/>
        <v>580.49516102888936</v>
      </c>
      <c r="K128" s="35"/>
      <c r="L128" s="23">
        <v>2.5350000000000001</v>
      </c>
      <c r="M128" s="23">
        <v>1.7929999999999999</v>
      </c>
      <c r="N128" s="23">
        <v>3.496</v>
      </c>
      <c r="O128" s="23">
        <v>0.39</v>
      </c>
      <c r="P128" s="33"/>
      <c r="Q128" s="23">
        <v>2.395</v>
      </c>
      <c r="R128" s="23">
        <v>0.24399999999999999</v>
      </c>
      <c r="S128" s="23">
        <v>0.11</v>
      </c>
      <c r="T128" s="23">
        <v>0.21099999999999999</v>
      </c>
      <c r="U128" s="33"/>
      <c r="V128" s="48">
        <f t="shared" si="241"/>
        <v>0.80437304156640077</v>
      </c>
      <c r="W128" s="33">
        <f t="shared" si="242"/>
        <v>8.4483146650970356E-2</v>
      </c>
      <c r="X128" s="48">
        <f t="shared" si="243"/>
        <v>3.8086664473798111E-2</v>
      </c>
      <c r="Y128" s="48">
        <f t="shared" si="244"/>
        <v>7.3057147308830922E-2</v>
      </c>
      <c r="Z128" s="48"/>
      <c r="AA128" s="48">
        <f t="shared" si="245"/>
        <v>2.8943979925721956E-2</v>
      </c>
      <c r="AB128" s="48">
        <f t="shared" si="246"/>
        <v>1.5674041905491174E-3</v>
      </c>
      <c r="AC128" s="48">
        <f t="shared" si="247"/>
        <v>-87.199116011829446</v>
      </c>
      <c r="AD128" s="48"/>
      <c r="AE128" s="48">
        <f t="shared" si="248"/>
        <v>-4.121328802412906</v>
      </c>
      <c r="AF128" s="48">
        <f t="shared" si="249"/>
        <v>2.0815678492208445E-2</v>
      </c>
      <c r="AG128" s="48">
        <f t="shared" si="250"/>
        <v>9648.9456394640274</v>
      </c>
      <c r="AH128" s="33"/>
      <c r="AI128" s="48">
        <f t="shared" si="251"/>
        <v>-0.8460856481038902</v>
      </c>
      <c r="AJ128" s="48">
        <f t="shared" si="252"/>
        <v>3.3058729904057393E-2</v>
      </c>
      <c r="AK128" s="48">
        <f t="shared" si="253"/>
        <v>2240.4940378326223</v>
      </c>
      <c r="AL128" s="33"/>
      <c r="AM128" s="33"/>
      <c r="AN128" s="48">
        <f t="shared" si="254"/>
        <v>0.28294911325085798</v>
      </c>
      <c r="AO128" s="48">
        <f t="shared" si="255"/>
        <v>0.226390603969222</v>
      </c>
      <c r="AP128" s="48">
        <f t="shared" si="256"/>
        <v>0.44141748548600118</v>
      </c>
      <c r="AQ128" s="48">
        <f t="shared" si="257"/>
        <v>4.9242797293918901E-2</v>
      </c>
      <c r="AR128" s="33"/>
      <c r="AS128" s="48"/>
      <c r="AT128" s="33">
        <f t="shared" si="258"/>
        <v>173824.71786261341</v>
      </c>
      <c r="AU128" s="33">
        <f t="shared" si="259"/>
        <v>203.62643144735262</v>
      </c>
      <c r="AV128" s="35">
        <f t="shared" si="260"/>
        <v>580.49516102888936</v>
      </c>
      <c r="AW128" s="33"/>
      <c r="AX128" s="35"/>
      <c r="AY128" s="33"/>
      <c r="AZ128" s="33"/>
      <c r="BA128" s="33"/>
      <c r="BB128" s="34"/>
      <c r="BC128" s="35"/>
      <c r="BD128" s="33"/>
      <c r="BE128" s="36"/>
      <c r="BF128" s="37"/>
      <c r="BG128" s="33"/>
      <c r="BH128" s="33"/>
      <c r="BI128" s="38"/>
      <c r="BJ128" s="37"/>
      <c r="BK128" s="37"/>
      <c r="BL128" s="37"/>
      <c r="BM128" s="37"/>
      <c r="BN128" s="37"/>
      <c r="BO128" s="37"/>
      <c r="BP128" s="37"/>
      <c r="BQ128" s="37"/>
      <c r="BR128" s="37"/>
      <c r="BS128" s="37"/>
      <c r="BT128" s="37"/>
      <c r="BU128" s="37"/>
      <c r="BV128" s="37"/>
      <c r="BW128" s="37"/>
      <c r="BX128" s="37"/>
      <c r="BY128" s="37"/>
      <c r="BZ128" s="37"/>
      <c r="CA128" s="37"/>
      <c r="CB128" s="37"/>
      <c r="CC128" s="37"/>
      <c r="CD128" s="37"/>
      <c r="CE128" s="37"/>
      <c r="CF128" s="37"/>
      <c r="CG128" s="37"/>
      <c r="CH128" s="37"/>
      <c r="CI128" s="37"/>
      <c r="CJ128" s="37"/>
      <c r="CK128" s="37"/>
      <c r="CL128" s="37"/>
      <c r="CM128" s="37"/>
      <c r="CN128" s="37"/>
      <c r="CO128" s="37"/>
      <c r="CP128" s="37"/>
      <c r="CQ128" s="37"/>
      <c r="CR128" s="37"/>
      <c r="CS128" s="37"/>
      <c r="CT128" s="37"/>
      <c r="CU128" s="37"/>
      <c r="CV128" s="37"/>
      <c r="CW128" s="37"/>
      <c r="CX128" s="37"/>
      <c r="CY128" s="37"/>
      <c r="CZ128" s="37"/>
      <c r="DA128" s="37"/>
      <c r="DB128" s="37"/>
      <c r="DC128" s="37"/>
      <c r="DD128" s="37"/>
      <c r="DE128" s="37"/>
      <c r="DF128" s="37"/>
      <c r="DG128" s="37"/>
      <c r="DH128" s="37"/>
      <c r="DI128" s="37"/>
      <c r="DJ128" s="37"/>
      <c r="DK128" s="37"/>
      <c r="DL128" s="37"/>
      <c r="DM128" s="37"/>
      <c r="DN128" s="37"/>
      <c r="DO128" s="37"/>
      <c r="DP128" s="37"/>
      <c r="DQ128" s="37"/>
      <c r="DR128" s="37"/>
      <c r="DS128" s="37"/>
      <c r="DT128" s="37"/>
      <c r="DU128" s="37"/>
      <c r="DV128" s="37"/>
      <c r="DW128" s="37"/>
      <c r="DX128" s="37"/>
      <c r="DY128" s="37"/>
      <c r="DZ128" s="37"/>
      <c r="EA128" s="37"/>
      <c r="EB128" s="37"/>
      <c r="EC128" s="37"/>
      <c r="ED128" s="37"/>
      <c r="EE128" s="37"/>
      <c r="EF128" s="37"/>
      <c r="EG128" s="37"/>
      <c r="EH128" s="37"/>
      <c r="EI128" s="37"/>
      <c r="EJ128" s="37"/>
      <c r="EK128" s="37"/>
      <c r="EL128" s="37"/>
      <c r="EM128" s="37"/>
      <c r="EN128" s="37"/>
      <c r="EO128" s="37"/>
      <c r="EP128" s="37"/>
      <c r="EQ128" s="37"/>
      <c r="ER128" s="37"/>
      <c r="ES128" s="37"/>
      <c r="ET128" s="37"/>
      <c r="EU128" s="37"/>
      <c r="EV128" s="37"/>
      <c r="EW128" s="37"/>
      <c r="EX128" s="37"/>
      <c r="EY128" s="37"/>
      <c r="EZ128" s="37"/>
      <c r="FA128" s="37"/>
      <c r="FB128" s="37"/>
      <c r="FC128" s="37"/>
      <c r="FD128" s="37"/>
      <c r="FE128" s="37"/>
      <c r="FF128" s="37"/>
      <c r="FG128" s="37"/>
      <c r="FH128" s="37"/>
      <c r="FI128" s="37"/>
      <c r="FJ128" s="37"/>
      <c r="FK128" s="37"/>
      <c r="FL128" s="37"/>
      <c r="FM128" s="37"/>
      <c r="FN128" s="37"/>
      <c r="FO128" s="37"/>
      <c r="FP128" s="37"/>
      <c r="FQ128" s="37"/>
      <c r="FR128" s="37"/>
      <c r="FS128" s="37"/>
      <c r="FT128" s="37"/>
      <c r="FU128" s="37"/>
      <c r="FV128" s="37"/>
      <c r="FW128" s="37"/>
      <c r="FX128" s="37"/>
      <c r="FY128" s="37"/>
      <c r="FZ128" s="37"/>
      <c r="GA128" s="37"/>
      <c r="GB128" s="37"/>
      <c r="GC128" s="37"/>
      <c r="GD128" s="37"/>
      <c r="GE128" s="37"/>
      <c r="GF128" s="37"/>
      <c r="GG128" s="37"/>
      <c r="GH128" s="37"/>
      <c r="GI128" s="37"/>
      <c r="GJ128" s="37"/>
      <c r="GK128" s="37"/>
      <c r="GL128" s="37"/>
      <c r="GM128" s="37"/>
      <c r="GN128" s="37"/>
      <c r="GO128" s="37"/>
    </row>
    <row r="129" spans="1:197" s="92" customFormat="1" x14ac:dyDescent="0.55000000000000004">
      <c r="A129" s="37"/>
      <c r="B129" s="47"/>
      <c r="C129" s="135" t="s">
        <v>56</v>
      </c>
      <c r="D129" s="158" t="s">
        <v>231</v>
      </c>
      <c r="E129" t="s">
        <v>369</v>
      </c>
      <c r="F129" s="158" t="s">
        <v>240</v>
      </c>
      <c r="G129" s="37"/>
      <c r="H129" s="32">
        <v>4720</v>
      </c>
      <c r="I129" s="33"/>
      <c r="J129" s="94">
        <f t="shared" si="240"/>
        <v>590.43170140234952</v>
      </c>
      <c r="K129" s="35"/>
      <c r="L129" s="23">
        <v>2.552</v>
      </c>
      <c r="M129" s="23">
        <v>1.7989999999999999</v>
      </c>
      <c r="N129" s="23">
        <v>3.508</v>
      </c>
      <c r="O129" s="23">
        <v>0.4</v>
      </c>
      <c r="P129" s="33"/>
      <c r="Q129" s="23">
        <v>2.4159999999999999</v>
      </c>
      <c r="R129" s="23">
        <v>0.27300000000000002</v>
      </c>
      <c r="S129" s="23">
        <v>0.11</v>
      </c>
      <c r="T129" s="23">
        <v>0.19700000000000001</v>
      </c>
      <c r="U129" s="33"/>
      <c r="V129" s="48">
        <f t="shared" si="241"/>
        <v>0.80160901926444827</v>
      </c>
      <c r="W129" s="33">
        <f t="shared" si="242"/>
        <v>9.3380582311733809E-2</v>
      </c>
      <c r="X129" s="48">
        <f t="shared" si="243"/>
        <v>3.7625875656742559E-2</v>
      </c>
      <c r="Y129" s="48">
        <f t="shared" si="244"/>
        <v>6.7384522767075308E-2</v>
      </c>
      <c r="Z129" s="48"/>
      <c r="AA129" s="48">
        <f t="shared" si="245"/>
        <v>1.2008733592601677E-2</v>
      </c>
      <c r="AB129" s="48">
        <f t="shared" si="246"/>
        <v>1.7583119009441589E-3</v>
      </c>
      <c r="AC129" s="48">
        <f t="shared" si="247"/>
        <v>-63.035469994933095</v>
      </c>
      <c r="AD129" s="48"/>
      <c r="AE129" s="48">
        <f t="shared" si="248"/>
        <v>-3.8360124887363858</v>
      </c>
      <c r="AF129" s="48">
        <f t="shared" si="249"/>
        <v>1.9674716150066454E-2</v>
      </c>
      <c r="AG129" s="48">
        <f t="shared" si="250"/>
        <v>9157.0691577299185</v>
      </c>
      <c r="AH129" s="33"/>
      <c r="AI129" s="48">
        <f t="shared" si="251"/>
        <v>-0.87071232723786463</v>
      </c>
      <c r="AJ129" s="48">
        <f t="shared" si="252"/>
        <v>3.1585978005362274E-2</v>
      </c>
      <c r="AK129" s="48">
        <f t="shared" si="253"/>
        <v>2390.6442565979428</v>
      </c>
      <c r="AL129" s="33"/>
      <c r="AM129" s="33"/>
      <c r="AN129" s="48">
        <f t="shared" si="254"/>
        <v>0.28330743009390469</v>
      </c>
      <c r="AO129" s="48">
        <f t="shared" si="255"/>
        <v>0.2259207873245252</v>
      </c>
      <c r="AP129" s="48">
        <f t="shared" si="256"/>
        <v>0.44053925621702855</v>
      </c>
      <c r="AQ129" s="48">
        <f t="shared" si="257"/>
        <v>5.0232526364541459E-2</v>
      </c>
      <c r="AR129" s="33"/>
      <c r="AS129" s="48"/>
      <c r="AT129" s="33">
        <f t="shared" si="258"/>
        <v>173375.48463687659</v>
      </c>
      <c r="AU129" s="33">
        <f t="shared" si="259"/>
        <v>200.76326809071605</v>
      </c>
      <c r="AV129" s="35">
        <f t="shared" si="260"/>
        <v>590.43170140234952</v>
      </c>
      <c r="AW129" s="33"/>
      <c r="AX129" s="35"/>
      <c r="AY129" s="33"/>
      <c r="AZ129" s="33"/>
      <c r="BA129" s="33"/>
      <c r="BB129" s="34"/>
      <c r="BC129" s="35"/>
      <c r="BD129" s="33"/>
      <c r="BE129" s="36"/>
      <c r="BF129" s="37"/>
      <c r="BG129" s="33"/>
      <c r="BH129" s="33"/>
      <c r="BI129" s="38"/>
      <c r="BJ129" s="37"/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7"/>
      <c r="BY129" s="37"/>
      <c r="BZ129" s="37"/>
      <c r="CA129" s="37"/>
      <c r="CB129" s="37"/>
      <c r="CC129" s="37"/>
      <c r="CD129" s="37"/>
      <c r="CE129" s="37"/>
      <c r="CF129" s="37"/>
      <c r="CG129" s="37"/>
      <c r="CH129" s="37"/>
      <c r="CI129" s="37"/>
      <c r="CJ129" s="37"/>
      <c r="CK129" s="37"/>
      <c r="CL129" s="37"/>
      <c r="CM129" s="37"/>
      <c r="CN129" s="37"/>
      <c r="CO129" s="37"/>
      <c r="CP129" s="37"/>
      <c r="CQ129" s="37"/>
      <c r="CR129" s="37"/>
      <c r="CS129" s="37"/>
      <c r="CT129" s="37"/>
      <c r="CU129" s="37"/>
      <c r="CV129" s="37"/>
      <c r="CW129" s="37"/>
      <c r="CX129" s="37"/>
      <c r="CY129" s="37"/>
      <c r="CZ129" s="37"/>
      <c r="DA129" s="37"/>
      <c r="DB129" s="37"/>
      <c r="DC129" s="37"/>
      <c r="DD129" s="37"/>
      <c r="DE129" s="37"/>
      <c r="DF129" s="37"/>
      <c r="DG129" s="37"/>
      <c r="DH129" s="37"/>
      <c r="DI129" s="37"/>
      <c r="DJ129" s="37"/>
      <c r="DK129" s="37"/>
      <c r="DL129" s="37"/>
      <c r="DM129" s="37"/>
      <c r="DN129" s="37"/>
      <c r="DO129" s="37"/>
      <c r="DP129" s="37"/>
      <c r="DQ129" s="37"/>
      <c r="DR129" s="37"/>
      <c r="DS129" s="37"/>
      <c r="DT129" s="37"/>
      <c r="DU129" s="37"/>
      <c r="DV129" s="37"/>
      <c r="DW129" s="37"/>
      <c r="DX129" s="37"/>
      <c r="DY129" s="37"/>
      <c r="DZ129" s="37"/>
      <c r="EA129" s="37"/>
      <c r="EB129" s="37"/>
      <c r="EC129" s="37"/>
      <c r="ED129" s="37"/>
      <c r="EE129" s="37"/>
      <c r="EF129" s="37"/>
      <c r="EG129" s="37"/>
      <c r="EH129" s="37"/>
      <c r="EI129" s="37"/>
      <c r="EJ129" s="37"/>
      <c r="EK129" s="37"/>
      <c r="EL129" s="37"/>
      <c r="EM129" s="37"/>
      <c r="EN129" s="37"/>
      <c r="EO129" s="37"/>
      <c r="EP129" s="37"/>
      <c r="EQ129" s="37"/>
      <c r="ER129" s="37"/>
      <c r="ES129" s="37"/>
      <c r="ET129" s="37"/>
      <c r="EU129" s="37"/>
      <c r="EV129" s="37"/>
      <c r="EW129" s="37"/>
      <c r="EX129" s="37"/>
      <c r="EY129" s="37"/>
      <c r="EZ129" s="37"/>
      <c r="FA129" s="37"/>
      <c r="FB129" s="37"/>
      <c r="FC129" s="37"/>
      <c r="FD129" s="37"/>
      <c r="FE129" s="37"/>
      <c r="FF129" s="37"/>
      <c r="FG129" s="37"/>
      <c r="FH129" s="37"/>
      <c r="FI129" s="37"/>
      <c r="FJ129" s="37"/>
      <c r="FK129" s="37"/>
      <c r="FL129" s="37"/>
      <c r="FM129" s="37"/>
      <c r="FN129" s="37"/>
      <c r="FO129" s="37"/>
      <c r="FP129" s="37"/>
      <c r="FQ129" s="37"/>
      <c r="FR129" s="37"/>
      <c r="FS129" s="37"/>
      <c r="FT129" s="37"/>
      <c r="FU129" s="37"/>
      <c r="FV129" s="37"/>
      <c r="FW129" s="37"/>
      <c r="FX129" s="37"/>
      <c r="FY129" s="37"/>
      <c r="FZ129" s="37"/>
      <c r="GA129" s="37"/>
      <c r="GB129" s="37"/>
      <c r="GC129" s="37"/>
      <c r="GD129" s="37"/>
      <c r="GE129" s="37"/>
      <c r="GF129" s="37"/>
      <c r="GG129" s="37"/>
      <c r="GH129" s="37"/>
      <c r="GI129" s="37"/>
      <c r="GJ129" s="37"/>
      <c r="GK129" s="37"/>
      <c r="GL129" s="37"/>
      <c r="GM129" s="37"/>
      <c r="GN129" s="37"/>
      <c r="GO129" s="37"/>
    </row>
    <row r="130" spans="1:197" s="92" customFormat="1" x14ac:dyDescent="0.55000000000000004">
      <c r="A130" s="37"/>
      <c r="B130" s="47"/>
      <c r="C130" s="135" t="s">
        <v>57</v>
      </c>
      <c r="D130" s="158" t="s">
        <v>232</v>
      </c>
      <c r="E130" t="s">
        <v>370</v>
      </c>
      <c r="F130" s="158" t="s">
        <v>241</v>
      </c>
      <c r="G130" s="37"/>
      <c r="H130" s="32">
        <v>4720</v>
      </c>
      <c r="I130" s="33"/>
      <c r="J130" s="94">
        <f t="shared" si="240"/>
        <v>589.68995470659922</v>
      </c>
      <c r="K130" s="35"/>
      <c r="L130" s="23">
        <v>2.5379999999999998</v>
      </c>
      <c r="M130" s="23">
        <v>1.786</v>
      </c>
      <c r="N130" s="23">
        <v>3.464</v>
      </c>
      <c r="O130" s="23">
        <v>0.39900000000000002</v>
      </c>
      <c r="P130" s="33"/>
      <c r="Q130" s="23">
        <v>2.4260000000000002</v>
      </c>
      <c r="R130" s="23">
        <v>0.27300000000000002</v>
      </c>
      <c r="S130" s="23">
        <v>0.11</v>
      </c>
      <c r="T130" s="23">
        <v>0.17699999999999999</v>
      </c>
      <c r="U130" s="33"/>
      <c r="V130" s="48">
        <f t="shared" si="241"/>
        <v>0.8077728424217876</v>
      </c>
      <c r="W130" s="33">
        <f t="shared" si="242"/>
        <v>9.3710739319378566E-2</v>
      </c>
      <c r="X130" s="48">
        <f t="shared" si="243"/>
        <v>3.7758905952863159E-2</v>
      </c>
      <c r="Y130" s="48">
        <f t="shared" si="244"/>
        <v>6.0757512305970714E-2</v>
      </c>
      <c r="Z130" s="48"/>
      <c r="AA130" s="48">
        <f t="shared" si="245"/>
        <v>3.6273302007407485E-4</v>
      </c>
      <c r="AB130" s="48">
        <f t="shared" si="246"/>
        <v>1.7376289664096094E-3</v>
      </c>
      <c r="AC130" s="48">
        <f t="shared" si="247"/>
        <v>-45.429296261164652</v>
      </c>
      <c r="AD130" s="48"/>
      <c r="AE130" s="48">
        <f t="shared" si="248"/>
        <v>-3.7333273627419272</v>
      </c>
      <c r="AF130" s="48">
        <f t="shared" si="249"/>
        <v>1.9839246387563167E-2</v>
      </c>
      <c r="AG130" s="48">
        <f t="shared" si="250"/>
        <v>8990.8831972131247</v>
      </c>
      <c r="AH130" s="33"/>
      <c r="AI130" s="48">
        <f t="shared" si="251"/>
        <v>-0.85484829097646753</v>
      </c>
      <c r="AJ130" s="48">
        <f t="shared" si="252"/>
        <v>3.1172033229310895E-2</v>
      </c>
      <c r="AK130" s="48">
        <f t="shared" si="253"/>
        <v>2353.0782316936388</v>
      </c>
      <c r="AL130" s="33"/>
      <c r="AM130" s="33"/>
      <c r="AN130" s="48">
        <f t="shared" si="254"/>
        <v>0.28426554926442416</v>
      </c>
      <c r="AO130" s="48">
        <f t="shared" si="255"/>
        <v>0.22628814462979971</v>
      </c>
      <c r="AP130" s="48">
        <f t="shared" si="256"/>
        <v>0.43889257166720391</v>
      </c>
      <c r="AQ130" s="48">
        <f t="shared" si="257"/>
        <v>5.0553734438572279E-2</v>
      </c>
      <c r="AR130" s="33"/>
      <c r="AS130" s="48"/>
      <c r="AT130" s="33">
        <f t="shared" si="258"/>
        <v>172874.51465499357</v>
      </c>
      <c r="AU130" s="33">
        <f t="shared" si="259"/>
        <v>200.35524979111329</v>
      </c>
      <c r="AV130" s="35">
        <f t="shared" si="260"/>
        <v>589.68995470659922</v>
      </c>
      <c r="AW130" s="33"/>
      <c r="AX130" s="35"/>
      <c r="AY130" s="33"/>
      <c r="AZ130" s="33"/>
      <c r="BA130" s="33"/>
      <c r="BB130" s="34"/>
      <c r="BC130" s="35"/>
      <c r="BD130" s="33"/>
      <c r="BE130" s="36"/>
      <c r="BF130" s="37"/>
      <c r="BG130" s="33"/>
      <c r="BH130" s="33"/>
      <c r="BI130" s="38"/>
      <c r="BJ130" s="37"/>
      <c r="BK130" s="37"/>
      <c r="BL130" s="37"/>
      <c r="BM130" s="37"/>
      <c r="BN130" s="37"/>
      <c r="BO130" s="37"/>
      <c r="BP130" s="37"/>
      <c r="BQ130" s="37"/>
      <c r="BR130" s="37"/>
      <c r="BS130" s="37"/>
      <c r="BT130" s="37"/>
      <c r="BU130" s="37"/>
      <c r="BV130" s="37"/>
      <c r="BW130" s="37"/>
      <c r="BX130" s="37"/>
      <c r="BY130" s="37"/>
      <c r="BZ130" s="37"/>
      <c r="CA130" s="37"/>
      <c r="CB130" s="37"/>
      <c r="CC130" s="37"/>
      <c r="CD130" s="37"/>
      <c r="CE130" s="37"/>
      <c r="CF130" s="37"/>
      <c r="CG130" s="37"/>
      <c r="CH130" s="37"/>
      <c r="CI130" s="37"/>
      <c r="CJ130" s="37"/>
      <c r="CK130" s="37"/>
      <c r="CL130" s="37"/>
      <c r="CM130" s="37"/>
      <c r="CN130" s="37"/>
      <c r="CO130" s="37"/>
      <c r="CP130" s="37"/>
      <c r="CQ130" s="37"/>
      <c r="CR130" s="37"/>
      <c r="CS130" s="37"/>
      <c r="CT130" s="37"/>
      <c r="CU130" s="37"/>
      <c r="CV130" s="37"/>
      <c r="CW130" s="37"/>
      <c r="CX130" s="37"/>
      <c r="CY130" s="37"/>
      <c r="CZ130" s="37"/>
      <c r="DA130" s="37"/>
      <c r="DB130" s="37"/>
      <c r="DC130" s="37"/>
      <c r="DD130" s="37"/>
      <c r="DE130" s="37"/>
      <c r="DF130" s="37"/>
      <c r="DG130" s="37"/>
      <c r="DH130" s="37"/>
      <c r="DI130" s="37"/>
      <c r="DJ130" s="37"/>
      <c r="DK130" s="37"/>
      <c r="DL130" s="37"/>
      <c r="DM130" s="37"/>
      <c r="DN130" s="37"/>
      <c r="DO130" s="37"/>
      <c r="DP130" s="37"/>
      <c r="DQ130" s="37"/>
      <c r="DR130" s="37"/>
      <c r="DS130" s="37"/>
      <c r="DT130" s="37"/>
      <c r="DU130" s="37"/>
      <c r="DV130" s="37"/>
      <c r="DW130" s="37"/>
      <c r="DX130" s="37"/>
      <c r="DY130" s="37"/>
      <c r="DZ130" s="37"/>
      <c r="EA130" s="37"/>
      <c r="EB130" s="37"/>
      <c r="EC130" s="37"/>
      <c r="ED130" s="37"/>
      <c r="EE130" s="37"/>
      <c r="EF130" s="37"/>
      <c r="EG130" s="37"/>
      <c r="EH130" s="37"/>
      <c r="EI130" s="37"/>
      <c r="EJ130" s="37"/>
      <c r="EK130" s="37"/>
      <c r="EL130" s="37"/>
      <c r="EM130" s="37"/>
      <c r="EN130" s="37"/>
      <c r="EO130" s="37"/>
      <c r="EP130" s="37"/>
      <c r="EQ130" s="37"/>
      <c r="ER130" s="37"/>
      <c r="ES130" s="37"/>
      <c r="ET130" s="37"/>
      <c r="EU130" s="37"/>
      <c r="EV130" s="37"/>
      <c r="EW130" s="37"/>
      <c r="EX130" s="37"/>
      <c r="EY130" s="37"/>
      <c r="EZ130" s="37"/>
      <c r="FA130" s="37"/>
      <c r="FB130" s="37"/>
      <c r="FC130" s="37"/>
      <c r="FD130" s="37"/>
      <c r="FE130" s="37"/>
      <c r="FF130" s="37"/>
      <c r="FG130" s="37"/>
      <c r="FH130" s="37"/>
      <c r="FI130" s="37"/>
      <c r="FJ130" s="37"/>
      <c r="FK130" s="37"/>
      <c r="FL130" s="37"/>
      <c r="FM130" s="37"/>
      <c r="FN130" s="37"/>
      <c r="FO130" s="37"/>
      <c r="FP130" s="37"/>
      <c r="FQ130" s="37"/>
      <c r="FR130" s="37"/>
      <c r="FS130" s="37"/>
      <c r="FT130" s="37"/>
      <c r="FU130" s="37"/>
      <c r="FV130" s="37"/>
      <c r="FW130" s="37"/>
      <c r="FX130" s="37"/>
      <c r="FY130" s="37"/>
      <c r="FZ130" s="37"/>
      <c r="GA130" s="37"/>
      <c r="GB130" s="37"/>
      <c r="GC130" s="37"/>
      <c r="GD130" s="37"/>
      <c r="GE130" s="37"/>
      <c r="GF130" s="37"/>
      <c r="GG130" s="37"/>
      <c r="GH130" s="37"/>
      <c r="GI130" s="37"/>
      <c r="GJ130" s="37"/>
      <c r="GK130" s="37"/>
      <c r="GL130" s="37"/>
      <c r="GM130" s="37"/>
      <c r="GN130" s="37"/>
      <c r="GO130" s="37"/>
    </row>
    <row r="131" spans="1:197" s="92" customFormat="1" x14ac:dyDescent="0.55000000000000004">
      <c r="A131" s="37"/>
      <c r="B131" s="47"/>
      <c r="C131" s="135" t="s">
        <v>58</v>
      </c>
      <c r="D131" s="158" t="s">
        <v>287</v>
      </c>
      <c r="E131" t="s">
        <v>371</v>
      </c>
      <c r="F131" s="158" t="s">
        <v>242</v>
      </c>
      <c r="G131" s="37"/>
      <c r="H131" s="32">
        <v>4720</v>
      </c>
      <c r="I131" s="33"/>
      <c r="J131" s="94">
        <f t="shared" si="240"/>
        <v>596.77161191870243</v>
      </c>
      <c r="K131" s="35"/>
      <c r="L131" s="23">
        <f>AVERAGE(L127:L130)</f>
        <v>2.5605000000000002</v>
      </c>
      <c r="M131" s="23">
        <f>AVERAGE(M127:M130)</f>
        <v>1.7529999999999997</v>
      </c>
      <c r="N131" s="23">
        <f>AVERAGE(N127:N130)</f>
        <v>3.5310000000000001</v>
      </c>
      <c r="O131" s="23">
        <f>AVERAGE(O127:O130)</f>
        <v>0.38450000000000001</v>
      </c>
      <c r="P131" s="33"/>
      <c r="Q131" s="23">
        <v>2.4060000000000001</v>
      </c>
      <c r="R131" s="23">
        <v>0.28199999999999997</v>
      </c>
      <c r="S131" s="23">
        <v>0.11</v>
      </c>
      <c r="T131" s="23">
        <v>0.182</v>
      </c>
      <c r="U131" s="33"/>
      <c r="V131" s="48">
        <f t="shared" si="241"/>
        <v>0.80260126142608557</v>
      </c>
      <c r="W131" s="33">
        <f t="shared" si="242"/>
        <v>9.6979868079867373E-2</v>
      </c>
      <c r="X131" s="48">
        <f t="shared" si="243"/>
        <v>3.7829026555976641E-2</v>
      </c>
      <c r="Y131" s="48">
        <f t="shared" si="244"/>
        <v>6.2589843938070447E-2</v>
      </c>
      <c r="Z131" s="48"/>
      <c r="AA131" s="48">
        <f t="shared" si="245"/>
        <v>3.0345601772003433E-4</v>
      </c>
      <c r="AB131" s="48">
        <f t="shared" si="246"/>
        <v>1.82908296751572E-3</v>
      </c>
      <c r="AC131" s="48">
        <f t="shared" si="247"/>
        <v>-46.364221732376251</v>
      </c>
      <c r="AD131" s="48"/>
      <c r="AE131" s="48">
        <f t="shared" si="248"/>
        <v>-3.6871988731307832</v>
      </c>
      <c r="AF131" s="48">
        <f t="shared" si="249"/>
        <v>1.9251936934949521E-2</v>
      </c>
      <c r="AG131" s="48">
        <f t="shared" si="250"/>
        <v>8908.7940559689723</v>
      </c>
      <c r="AH131" s="33"/>
      <c r="AI131" s="48">
        <f t="shared" si="251"/>
        <v>-0.88063020301138617</v>
      </c>
      <c r="AJ131" s="48">
        <f t="shared" si="252"/>
        <v>3.0891912363963554E-2</v>
      </c>
      <c r="AK131" s="48">
        <f t="shared" si="253"/>
        <v>2447.5658809006982</v>
      </c>
      <c r="AL131" s="33"/>
      <c r="AM131" s="33"/>
      <c r="AN131" s="48">
        <f t="shared" si="254"/>
        <v>0.28536146451164413</v>
      </c>
      <c r="AO131" s="48">
        <f t="shared" si="255"/>
        <v>0.22100403152705081</v>
      </c>
      <c r="AP131" s="48">
        <f t="shared" si="256"/>
        <v>0.44515986042328387</v>
      </c>
      <c r="AQ131" s="48">
        <f t="shared" si="257"/>
        <v>4.8474643538021139E-2</v>
      </c>
      <c r="AR131" s="33"/>
      <c r="AS131" s="48"/>
      <c r="AT131" s="33">
        <f t="shared" si="258"/>
        <v>173535.84146421831</v>
      </c>
      <c r="AU131" s="33">
        <f t="shared" si="259"/>
        <v>199.48445823925101</v>
      </c>
      <c r="AV131" s="35">
        <f t="shared" si="260"/>
        <v>596.77161191870243</v>
      </c>
      <c r="AW131" s="33"/>
      <c r="AX131" s="35"/>
      <c r="AY131" s="33"/>
      <c r="AZ131" s="33"/>
      <c r="BA131" s="33"/>
      <c r="BB131" s="34"/>
      <c r="BC131" s="35"/>
      <c r="BD131" s="33"/>
      <c r="BE131" s="36"/>
      <c r="BF131" s="37"/>
      <c r="BG131" s="33"/>
      <c r="BH131" s="33"/>
      <c r="BI131" s="38"/>
      <c r="BJ131" s="37"/>
      <c r="BK131" s="37"/>
      <c r="BL131" s="37"/>
      <c r="BM131" s="37"/>
      <c r="BN131" s="37"/>
      <c r="BO131" s="37"/>
      <c r="BP131" s="37"/>
      <c r="BQ131" s="37"/>
      <c r="BR131" s="37"/>
      <c r="BS131" s="37"/>
      <c r="BT131" s="37"/>
      <c r="BU131" s="37"/>
      <c r="BV131" s="37"/>
      <c r="BW131" s="37"/>
      <c r="BX131" s="37"/>
      <c r="BY131" s="37"/>
      <c r="BZ131" s="37"/>
      <c r="CA131" s="37"/>
      <c r="CB131" s="37"/>
      <c r="CC131" s="37"/>
      <c r="CD131" s="37"/>
      <c r="CE131" s="37"/>
      <c r="CF131" s="37"/>
      <c r="CG131" s="37"/>
      <c r="CH131" s="37"/>
      <c r="CI131" s="37"/>
      <c r="CJ131" s="37"/>
      <c r="CK131" s="37"/>
      <c r="CL131" s="37"/>
      <c r="CM131" s="37"/>
      <c r="CN131" s="37"/>
      <c r="CO131" s="37"/>
      <c r="CP131" s="37"/>
      <c r="CQ131" s="37"/>
      <c r="CR131" s="37"/>
      <c r="CS131" s="37"/>
      <c r="CT131" s="37"/>
      <c r="CU131" s="37"/>
      <c r="CV131" s="37"/>
      <c r="CW131" s="37"/>
      <c r="CX131" s="37"/>
      <c r="CY131" s="37"/>
      <c r="CZ131" s="37"/>
      <c r="DA131" s="37"/>
      <c r="DB131" s="37"/>
      <c r="DC131" s="37"/>
      <c r="DD131" s="37"/>
      <c r="DE131" s="37"/>
      <c r="DF131" s="37"/>
      <c r="DG131" s="37"/>
      <c r="DH131" s="37"/>
      <c r="DI131" s="37"/>
      <c r="DJ131" s="37"/>
      <c r="DK131" s="37"/>
      <c r="DL131" s="37"/>
      <c r="DM131" s="37"/>
      <c r="DN131" s="37"/>
      <c r="DO131" s="37"/>
      <c r="DP131" s="37"/>
      <c r="DQ131" s="37"/>
      <c r="DR131" s="37"/>
      <c r="DS131" s="37"/>
      <c r="DT131" s="37"/>
      <c r="DU131" s="37"/>
      <c r="DV131" s="37"/>
      <c r="DW131" s="37"/>
      <c r="DX131" s="37"/>
      <c r="DY131" s="37"/>
      <c r="DZ131" s="37"/>
      <c r="EA131" s="37"/>
      <c r="EB131" s="37"/>
      <c r="EC131" s="37"/>
      <c r="ED131" s="37"/>
      <c r="EE131" s="37"/>
      <c r="EF131" s="37"/>
      <c r="EG131" s="37"/>
      <c r="EH131" s="37"/>
      <c r="EI131" s="37"/>
      <c r="EJ131" s="37"/>
      <c r="EK131" s="37"/>
      <c r="EL131" s="37"/>
      <c r="EM131" s="37"/>
      <c r="EN131" s="37"/>
      <c r="EO131" s="37"/>
      <c r="EP131" s="37"/>
      <c r="EQ131" s="37"/>
      <c r="ER131" s="37"/>
      <c r="ES131" s="37"/>
      <c r="ET131" s="37"/>
      <c r="EU131" s="37"/>
      <c r="EV131" s="37"/>
      <c r="EW131" s="37"/>
      <c r="EX131" s="37"/>
      <c r="EY131" s="37"/>
      <c r="EZ131" s="37"/>
      <c r="FA131" s="37"/>
      <c r="FB131" s="37"/>
      <c r="FC131" s="37"/>
      <c r="FD131" s="37"/>
      <c r="FE131" s="37"/>
      <c r="FF131" s="37"/>
      <c r="FG131" s="37"/>
      <c r="FH131" s="37"/>
      <c r="FI131" s="37"/>
      <c r="FJ131" s="37"/>
      <c r="FK131" s="37"/>
      <c r="FL131" s="37"/>
      <c r="FM131" s="37"/>
      <c r="FN131" s="37"/>
      <c r="FO131" s="37"/>
      <c r="FP131" s="37"/>
      <c r="FQ131" s="37"/>
      <c r="FR131" s="37"/>
      <c r="FS131" s="37"/>
      <c r="FT131" s="37"/>
      <c r="FU131" s="37"/>
      <c r="FV131" s="37"/>
      <c r="FW131" s="37"/>
      <c r="FX131" s="37"/>
      <c r="FY131" s="37"/>
      <c r="FZ131" s="37"/>
      <c r="GA131" s="37"/>
      <c r="GB131" s="37"/>
      <c r="GC131" s="37"/>
      <c r="GD131" s="37"/>
      <c r="GE131" s="37"/>
      <c r="GF131" s="37"/>
      <c r="GG131" s="37"/>
      <c r="GH131" s="37"/>
      <c r="GI131" s="37"/>
      <c r="GJ131" s="37"/>
      <c r="GK131" s="37"/>
      <c r="GL131" s="37"/>
      <c r="GM131" s="37"/>
      <c r="GN131" s="37"/>
      <c r="GO131" s="37"/>
    </row>
    <row r="132" spans="1:197" s="92" customFormat="1" x14ac:dyDescent="0.55000000000000004">
      <c r="A132" s="37"/>
      <c r="B132" s="47"/>
      <c r="C132" s="135" t="s">
        <v>58</v>
      </c>
      <c r="D132" s="158" t="s">
        <v>287</v>
      </c>
      <c r="E132" t="s">
        <v>372</v>
      </c>
      <c r="F132" s="158" t="s">
        <v>243</v>
      </c>
      <c r="G132" s="37"/>
      <c r="H132" s="32">
        <v>4720</v>
      </c>
      <c r="I132" s="33"/>
      <c r="J132" s="94">
        <f t="shared" si="240"/>
        <v>603.34622545528555</v>
      </c>
      <c r="K132" s="35"/>
      <c r="L132" s="23">
        <v>2.5605000000000002</v>
      </c>
      <c r="M132" s="23">
        <v>1.7529999999999997</v>
      </c>
      <c r="N132" s="23">
        <v>3.5310000000000001</v>
      </c>
      <c r="O132" s="23">
        <v>0.38450000000000001</v>
      </c>
      <c r="P132" s="33"/>
      <c r="Q132" s="23">
        <v>2.4020000000000001</v>
      </c>
      <c r="R132" s="23">
        <v>0.30099999999999999</v>
      </c>
      <c r="S132" s="23">
        <v>0.11</v>
      </c>
      <c r="T132" s="23">
        <v>0.17699999999999999</v>
      </c>
      <c r="U132" s="33"/>
      <c r="V132" s="48">
        <f t="shared" si="241"/>
        <v>0.79848797439289365</v>
      </c>
      <c r="W132" s="33">
        <f t="shared" si="242"/>
        <v>0.10315496548935206</v>
      </c>
      <c r="X132" s="48">
        <f t="shared" si="243"/>
        <v>3.7697827919696773E-2</v>
      </c>
      <c r="Y132" s="48">
        <f t="shared" si="244"/>
        <v>6.0659232198057529E-2</v>
      </c>
      <c r="Z132" s="48"/>
      <c r="AA132" s="48">
        <f t="shared" si="245"/>
        <v>-1.0280592899221678E-2</v>
      </c>
      <c r="AB132" s="48">
        <f t="shared" si="246"/>
        <v>1.9790347858034451E-3</v>
      </c>
      <c r="AC132" s="48">
        <f t="shared" si="247"/>
        <v>-31.3091381648442</v>
      </c>
      <c r="AD132" s="48"/>
      <c r="AE132" s="48">
        <f t="shared" si="248"/>
        <v>-3.523452156984948</v>
      </c>
      <c r="AF132" s="48">
        <f t="shared" si="249"/>
        <v>1.838446671606744E-2</v>
      </c>
      <c r="AG132" s="48">
        <f t="shared" si="250"/>
        <v>8625.4945609448387</v>
      </c>
      <c r="AH132" s="33"/>
      <c r="AI132" s="48">
        <f t="shared" si="251"/>
        <v>-0.91126081062046616</v>
      </c>
      <c r="AJ132" s="48">
        <f t="shared" si="252"/>
        <v>3.0031241319291996E-2</v>
      </c>
      <c r="AK132" s="48">
        <f t="shared" si="253"/>
        <v>2582.5546645320883</v>
      </c>
      <c r="AL132" s="33"/>
      <c r="AM132" s="33"/>
      <c r="AN132" s="48">
        <f t="shared" si="254"/>
        <v>0.28536146451164413</v>
      </c>
      <c r="AO132" s="48">
        <f t="shared" si="255"/>
        <v>0.22100403152705081</v>
      </c>
      <c r="AP132" s="48">
        <f t="shared" si="256"/>
        <v>0.44515986042328387</v>
      </c>
      <c r="AQ132" s="48">
        <f t="shared" si="257"/>
        <v>4.8474643538021139E-2</v>
      </c>
      <c r="AR132" s="33"/>
      <c r="AS132" s="48"/>
      <c r="AT132" s="33">
        <f t="shared" si="258"/>
        <v>173232.68465361118</v>
      </c>
      <c r="AU132" s="33">
        <f t="shared" si="259"/>
        <v>197.64224833213348</v>
      </c>
      <c r="AV132" s="35">
        <f t="shared" si="260"/>
        <v>603.34622545528555</v>
      </c>
      <c r="AW132" s="33"/>
      <c r="AX132" s="35"/>
      <c r="AY132" s="33"/>
      <c r="AZ132" s="33"/>
      <c r="BA132" s="33"/>
      <c r="BB132" s="34"/>
      <c r="BC132" s="35"/>
      <c r="BD132" s="33"/>
      <c r="BE132" s="36"/>
      <c r="BF132" s="37"/>
      <c r="BG132" s="33"/>
      <c r="BH132" s="33"/>
      <c r="BI132" s="38"/>
      <c r="BJ132" s="37"/>
      <c r="BK132" s="37"/>
      <c r="BL132" s="37"/>
      <c r="BM132" s="37"/>
      <c r="BN132" s="37"/>
      <c r="BO132" s="37"/>
      <c r="BP132" s="37"/>
      <c r="BQ132" s="37"/>
      <c r="BR132" s="37"/>
      <c r="BS132" s="37"/>
      <c r="BT132" s="37"/>
      <c r="BU132" s="37"/>
      <c r="BV132" s="37"/>
      <c r="BW132" s="37"/>
      <c r="BX132" s="37"/>
      <c r="BY132" s="37"/>
      <c r="BZ132" s="37"/>
      <c r="CA132" s="37"/>
      <c r="CB132" s="37"/>
      <c r="CC132" s="37"/>
      <c r="CD132" s="37"/>
      <c r="CE132" s="37"/>
      <c r="CF132" s="37"/>
      <c r="CG132" s="37"/>
      <c r="CH132" s="37"/>
      <c r="CI132" s="37"/>
      <c r="CJ132" s="37"/>
      <c r="CK132" s="37"/>
      <c r="CL132" s="37"/>
      <c r="CM132" s="37"/>
      <c r="CN132" s="37"/>
      <c r="CO132" s="37"/>
      <c r="CP132" s="37"/>
      <c r="CQ132" s="37"/>
      <c r="CR132" s="37"/>
      <c r="CS132" s="37"/>
      <c r="CT132" s="37"/>
      <c r="CU132" s="37"/>
      <c r="CV132" s="37"/>
      <c r="CW132" s="37"/>
      <c r="CX132" s="37"/>
      <c r="CY132" s="37"/>
      <c r="CZ132" s="37"/>
      <c r="DA132" s="37"/>
      <c r="DB132" s="37"/>
      <c r="DC132" s="37"/>
      <c r="DD132" s="37"/>
      <c r="DE132" s="37"/>
      <c r="DF132" s="37"/>
      <c r="DG132" s="37"/>
      <c r="DH132" s="37"/>
      <c r="DI132" s="37"/>
      <c r="DJ132" s="37"/>
      <c r="DK132" s="37"/>
      <c r="DL132" s="37"/>
      <c r="DM132" s="37"/>
      <c r="DN132" s="37"/>
      <c r="DO132" s="37"/>
      <c r="DP132" s="37"/>
      <c r="DQ132" s="37"/>
      <c r="DR132" s="37"/>
      <c r="DS132" s="37"/>
      <c r="DT132" s="37"/>
      <c r="DU132" s="37"/>
      <c r="DV132" s="37"/>
      <c r="DW132" s="37"/>
      <c r="DX132" s="37"/>
      <c r="DY132" s="37"/>
      <c r="DZ132" s="37"/>
      <c r="EA132" s="37"/>
      <c r="EB132" s="37"/>
      <c r="EC132" s="37"/>
      <c r="ED132" s="37"/>
      <c r="EE132" s="37"/>
      <c r="EF132" s="37"/>
      <c r="EG132" s="37"/>
      <c r="EH132" s="37"/>
      <c r="EI132" s="37"/>
      <c r="EJ132" s="37"/>
      <c r="EK132" s="37"/>
      <c r="EL132" s="37"/>
      <c r="EM132" s="37"/>
      <c r="EN132" s="37"/>
      <c r="EO132" s="37"/>
      <c r="EP132" s="37"/>
      <c r="EQ132" s="37"/>
      <c r="ER132" s="37"/>
      <c r="ES132" s="37"/>
      <c r="ET132" s="37"/>
      <c r="EU132" s="37"/>
      <c r="EV132" s="37"/>
      <c r="EW132" s="37"/>
      <c r="EX132" s="37"/>
      <c r="EY132" s="37"/>
      <c r="EZ132" s="37"/>
      <c r="FA132" s="37"/>
      <c r="FB132" s="37"/>
      <c r="FC132" s="37"/>
      <c r="FD132" s="37"/>
      <c r="FE132" s="37"/>
      <c r="FF132" s="37"/>
      <c r="FG132" s="37"/>
      <c r="FH132" s="37"/>
      <c r="FI132" s="37"/>
      <c r="FJ132" s="37"/>
      <c r="FK132" s="37"/>
      <c r="FL132" s="37"/>
      <c r="FM132" s="37"/>
      <c r="FN132" s="37"/>
      <c r="FO132" s="37"/>
      <c r="FP132" s="37"/>
      <c r="FQ132" s="37"/>
      <c r="FR132" s="37"/>
      <c r="FS132" s="37"/>
      <c r="FT132" s="37"/>
      <c r="FU132" s="37"/>
      <c r="FV132" s="37"/>
      <c r="FW132" s="37"/>
      <c r="FX132" s="37"/>
      <c r="FY132" s="37"/>
      <c r="FZ132" s="37"/>
      <c r="GA132" s="37"/>
      <c r="GB132" s="37"/>
      <c r="GC132" s="37"/>
      <c r="GD132" s="37"/>
      <c r="GE132" s="37"/>
      <c r="GF132" s="37"/>
      <c r="GG132" s="37"/>
      <c r="GH132" s="37"/>
      <c r="GI132" s="37"/>
      <c r="GJ132" s="37"/>
      <c r="GK132" s="37"/>
      <c r="GL132" s="37"/>
      <c r="GM132" s="37"/>
      <c r="GN132" s="37"/>
      <c r="GO132" s="37"/>
    </row>
    <row r="133" spans="1:197" s="92" customFormat="1" x14ac:dyDescent="0.55000000000000004">
      <c r="A133" s="37"/>
      <c r="B133" s="47"/>
      <c r="C133" s="135" t="s">
        <v>58</v>
      </c>
      <c r="D133" s="158" t="s">
        <v>287</v>
      </c>
      <c r="E133" t="s">
        <v>373</v>
      </c>
      <c r="F133" s="158" t="s">
        <v>244</v>
      </c>
      <c r="G133" s="37"/>
      <c r="H133" s="32">
        <v>4720</v>
      </c>
      <c r="I133" s="33"/>
      <c r="J133" s="94">
        <f t="shared" si="240"/>
        <v>609.84540493588565</v>
      </c>
      <c r="K133" s="35"/>
      <c r="L133" s="23">
        <v>2.5605000000000002</v>
      </c>
      <c r="M133" s="23">
        <v>1.7529999999999997</v>
      </c>
      <c r="N133" s="23">
        <v>3.5310000000000001</v>
      </c>
      <c r="O133" s="23">
        <v>0.38450000000000001</v>
      </c>
      <c r="P133" s="33"/>
      <c r="Q133" s="23">
        <v>2.4129999999999998</v>
      </c>
      <c r="R133" s="23">
        <v>0.32400000000000001</v>
      </c>
      <c r="S133" s="23">
        <v>0.1</v>
      </c>
      <c r="T133" s="23">
        <v>0.17199999999999999</v>
      </c>
      <c r="U133" s="33"/>
      <c r="V133" s="48">
        <f t="shared" si="241"/>
        <v>0.79704489189916261</v>
      </c>
      <c r="W133" s="33">
        <f t="shared" si="242"/>
        <v>0.11033130037696529</v>
      </c>
      <c r="X133" s="48">
        <f t="shared" si="243"/>
        <v>3.4052870486717679E-2</v>
      </c>
      <c r="Y133" s="48">
        <f t="shared" si="244"/>
        <v>5.8570937237154404E-2</v>
      </c>
      <c r="Z133" s="48"/>
      <c r="AA133" s="48">
        <f t="shared" si="245"/>
        <v>-2.8704969063156824E-2</v>
      </c>
      <c r="AB133" s="48">
        <f t="shared" si="246"/>
        <v>2.1310054140471092E-3</v>
      </c>
      <c r="AC133" s="48">
        <f t="shared" si="247"/>
        <v>3.5921906144349336</v>
      </c>
      <c r="AD133" s="48"/>
      <c r="AE133" s="48">
        <f t="shared" si="248"/>
        <v>-3.3245357710451104</v>
      </c>
      <c r="AF133" s="48">
        <f t="shared" si="249"/>
        <v>1.7850962169528996E-2</v>
      </c>
      <c r="AG133" s="48">
        <f t="shared" si="250"/>
        <v>8235.1127205251087</v>
      </c>
      <c r="AH133" s="33"/>
      <c r="AI133" s="48">
        <f t="shared" si="251"/>
        <v>-0.89840826494247494</v>
      </c>
      <c r="AJ133" s="48">
        <f t="shared" si="252"/>
        <v>2.863904535953226E-2</v>
      </c>
      <c r="AK133" s="48">
        <f t="shared" si="253"/>
        <v>2647.9284987083793</v>
      </c>
      <c r="AL133" s="33"/>
      <c r="AM133" s="33"/>
      <c r="AN133" s="48">
        <f t="shared" si="254"/>
        <v>0.28536146451164413</v>
      </c>
      <c r="AO133" s="48">
        <f t="shared" si="255"/>
        <v>0.22100403152705081</v>
      </c>
      <c r="AP133" s="48">
        <f t="shared" si="256"/>
        <v>0.44515986042328387</v>
      </c>
      <c r="AQ133" s="48">
        <f t="shared" si="257"/>
        <v>4.8474643538021139E-2</v>
      </c>
      <c r="AR133" s="33"/>
      <c r="AS133" s="48"/>
      <c r="AT133" s="33">
        <f t="shared" si="258"/>
        <v>172804.16604158722</v>
      </c>
      <c r="AU133" s="33">
        <f t="shared" si="259"/>
        <v>195.70222571445265</v>
      </c>
      <c r="AV133" s="35">
        <f t="shared" si="260"/>
        <v>609.84540493588565</v>
      </c>
      <c r="AW133" s="33"/>
      <c r="AX133" s="35"/>
      <c r="AY133" s="33"/>
      <c r="AZ133" s="33"/>
      <c r="BA133" s="33"/>
      <c r="BB133" s="34"/>
      <c r="BC133" s="35"/>
      <c r="BD133" s="33"/>
      <c r="BE133" s="36"/>
      <c r="BF133" s="37"/>
      <c r="BG133" s="33"/>
      <c r="BH133" s="33"/>
      <c r="BI133" s="38"/>
      <c r="BJ133" s="37"/>
      <c r="BK133" s="37"/>
      <c r="BL133" s="37"/>
      <c r="BM133" s="37"/>
      <c r="BN133" s="37"/>
      <c r="BO133" s="37"/>
      <c r="BP133" s="37"/>
      <c r="BQ133" s="37"/>
      <c r="BR133" s="37"/>
      <c r="BS133" s="37"/>
      <c r="BT133" s="37"/>
      <c r="BU133" s="37"/>
      <c r="BV133" s="37"/>
      <c r="BW133" s="37"/>
      <c r="BX133" s="37"/>
      <c r="BY133" s="37"/>
      <c r="BZ133" s="37"/>
      <c r="CA133" s="37"/>
      <c r="CB133" s="37"/>
      <c r="CC133" s="37"/>
      <c r="CD133" s="37"/>
      <c r="CE133" s="37"/>
      <c r="CF133" s="37"/>
      <c r="CG133" s="37"/>
      <c r="CH133" s="37"/>
      <c r="CI133" s="37"/>
      <c r="CJ133" s="37"/>
      <c r="CK133" s="37"/>
      <c r="CL133" s="37"/>
      <c r="CM133" s="37"/>
      <c r="CN133" s="37"/>
      <c r="CO133" s="37"/>
      <c r="CP133" s="37"/>
      <c r="CQ133" s="37"/>
      <c r="CR133" s="37"/>
      <c r="CS133" s="37"/>
      <c r="CT133" s="37"/>
      <c r="CU133" s="37"/>
      <c r="CV133" s="37"/>
      <c r="CW133" s="37"/>
      <c r="CX133" s="37"/>
      <c r="CY133" s="37"/>
      <c r="CZ133" s="37"/>
      <c r="DA133" s="37"/>
      <c r="DB133" s="37"/>
      <c r="DC133" s="37"/>
      <c r="DD133" s="37"/>
      <c r="DE133" s="37"/>
      <c r="DF133" s="37"/>
      <c r="DG133" s="37"/>
      <c r="DH133" s="37"/>
      <c r="DI133" s="37"/>
      <c r="DJ133" s="37"/>
      <c r="DK133" s="37"/>
      <c r="DL133" s="37"/>
      <c r="DM133" s="37"/>
      <c r="DN133" s="37"/>
      <c r="DO133" s="37"/>
      <c r="DP133" s="37"/>
      <c r="DQ133" s="37"/>
      <c r="DR133" s="37"/>
      <c r="DS133" s="37"/>
      <c r="DT133" s="37"/>
      <c r="DU133" s="37"/>
      <c r="DV133" s="37"/>
      <c r="DW133" s="37"/>
      <c r="DX133" s="37"/>
      <c r="DY133" s="37"/>
      <c r="DZ133" s="37"/>
      <c r="EA133" s="37"/>
      <c r="EB133" s="37"/>
      <c r="EC133" s="37"/>
      <c r="ED133" s="37"/>
      <c r="EE133" s="37"/>
      <c r="EF133" s="37"/>
      <c r="EG133" s="37"/>
      <c r="EH133" s="37"/>
      <c r="EI133" s="37"/>
      <c r="EJ133" s="37"/>
      <c r="EK133" s="37"/>
      <c r="EL133" s="37"/>
      <c r="EM133" s="37"/>
      <c r="EN133" s="37"/>
      <c r="EO133" s="37"/>
      <c r="EP133" s="37"/>
      <c r="EQ133" s="37"/>
      <c r="ER133" s="37"/>
      <c r="ES133" s="37"/>
      <c r="ET133" s="37"/>
      <c r="EU133" s="37"/>
      <c r="EV133" s="37"/>
      <c r="EW133" s="37"/>
      <c r="EX133" s="37"/>
      <c r="EY133" s="37"/>
      <c r="EZ133" s="37"/>
      <c r="FA133" s="37"/>
      <c r="FB133" s="37"/>
      <c r="FC133" s="37"/>
      <c r="FD133" s="37"/>
      <c r="FE133" s="37"/>
      <c r="FF133" s="37"/>
      <c r="FG133" s="37"/>
      <c r="FH133" s="37"/>
      <c r="FI133" s="37"/>
      <c r="FJ133" s="37"/>
      <c r="FK133" s="37"/>
      <c r="FL133" s="37"/>
      <c r="FM133" s="37"/>
      <c r="FN133" s="37"/>
      <c r="FO133" s="37"/>
      <c r="FP133" s="37"/>
      <c r="FQ133" s="37"/>
      <c r="FR133" s="37"/>
      <c r="FS133" s="37"/>
      <c r="FT133" s="37"/>
      <c r="FU133" s="37"/>
      <c r="FV133" s="37"/>
      <c r="FW133" s="37"/>
      <c r="FX133" s="37"/>
      <c r="FY133" s="37"/>
      <c r="FZ133" s="37"/>
      <c r="GA133" s="37"/>
      <c r="GB133" s="37"/>
      <c r="GC133" s="37"/>
      <c r="GD133" s="37"/>
      <c r="GE133" s="37"/>
      <c r="GF133" s="37"/>
      <c r="GG133" s="37"/>
      <c r="GH133" s="37"/>
      <c r="GI133" s="37"/>
      <c r="GJ133" s="37"/>
      <c r="GK133" s="37"/>
      <c r="GL133" s="37"/>
      <c r="GM133" s="37"/>
      <c r="GN133" s="37"/>
      <c r="GO133" s="37"/>
    </row>
    <row r="134" spans="1:197" s="92" customFormat="1" x14ac:dyDescent="0.55000000000000004">
      <c r="A134" s="37"/>
      <c r="B134" s="47"/>
      <c r="C134" s="135" t="s">
        <v>58</v>
      </c>
      <c r="D134" s="158" t="s">
        <v>287</v>
      </c>
      <c r="E134" t="s">
        <v>374</v>
      </c>
      <c r="F134" s="158" t="s">
        <v>245</v>
      </c>
      <c r="G134" s="37"/>
      <c r="H134" s="32">
        <v>4720</v>
      </c>
      <c r="I134" s="33"/>
      <c r="J134" s="94">
        <f t="shared" si="240"/>
        <v>609.19649133715927</v>
      </c>
      <c r="K134" s="35"/>
      <c r="L134" s="23">
        <v>2.5605000000000002</v>
      </c>
      <c r="M134" s="23">
        <v>1.7529999999999997</v>
      </c>
      <c r="N134" s="23">
        <v>3.5310000000000001</v>
      </c>
      <c r="O134" s="23">
        <v>0.38450000000000001</v>
      </c>
      <c r="P134" s="33"/>
      <c r="Q134" s="23">
        <v>2.403</v>
      </c>
      <c r="R134" s="23">
        <v>0.31900000000000001</v>
      </c>
      <c r="S134" s="23">
        <v>0.114</v>
      </c>
      <c r="T134" s="23">
        <v>0.17199999999999999</v>
      </c>
      <c r="U134" s="33"/>
      <c r="V134" s="48">
        <f t="shared" si="241"/>
        <v>0.79393101287164791</v>
      </c>
      <c r="W134" s="33">
        <f t="shared" si="242"/>
        <v>0.10865455684949471</v>
      </c>
      <c r="X134" s="48">
        <f t="shared" si="243"/>
        <v>3.8829528153110963E-2</v>
      </c>
      <c r="Y134" s="48">
        <f t="shared" si="244"/>
        <v>5.8584902125746359E-2</v>
      </c>
      <c r="Z134" s="48"/>
      <c r="AA134" s="48">
        <f t="shared" si="245"/>
        <v>-1.9355224382213994E-2</v>
      </c>
      <c r="AB134" s="48">
        <f t="shared" si="246"/>
        <v>2.1233068987703521E-3</v>
      </c>
      <c r="AC134" s="48">
        <f t="shared" si="247"/>
        <v>-21.013909214910576</v>
      </c>
      <c r="AD134" s="48"/>
      <c r="AE134" s="48">
        <f t="shared" si="248"/>
        <v>-3.3797278312952423</v>
      </c>
      <c r="AF134" s="48">
        <f t="shared" si="249"/>
        <v>1.7472260414558054E-2</v>
      </c>
      <c r="AG134" s="48">
        <f t="shared" si="250"/>
        <v>8393.100393630506</v>
      </c>
      <c r="AH134" s="33"/>
      <c r="AI134" s="48">
        <f t="shared" si="251"/>
        <v>-0.95816866932300049</v>
      </c>
      <c r="AJ134" s="48">
        <f t="shared" si="252"/>
        <v>2.9407754156977571E-2</v>
      </c>
      <c r="AK134" s="48">
        <f t="shared" si="253"/>
        <v>2740.4767152050167</v>
      </c>
      <c r="AL134" s="33"/>
      <c r="AM134" s="33"/>
      <c r="AN134" s="48">
        <f t="shared" si="254"/>
        <v>0.28536146451164413</v>
      </c>
      <c r="AO134" s="48">
        <f t="shared" si="255"/>
        <v>0.22100403152705081</v>
      </c>
      <c r="AP134" s="48">
        <f t="shared" si="256"/>
        <v>0.44515986042328387</v>
      </c>
      <c r="AQ134" s="48">
        <f t="shared" si="257"/>
        <v>4.8474643538021139E-2</v>
      </c>
      <c r="AR134" s="33"/>
      <c r="AS134" s="48"/>
      <c r="AT134" s="33">
        <f t="shared" si="258"/>
        <v>172985.00867923061</v>
      </c>
      <c r="AU134" s="33">
        <f t="shared" si="259"/>
        <v>196.05110960103559</v>
      </c>
      <c r="AV134" s="35">
        <f t="shared" si="260"/>
        <v>609.19649133715927</v>
      </c>
      <c r="AW134" s="33"/>
      <c r="AX134" s="35"/>
      <c r="AY134" s="33"/>
      <c r="AZ134" s="33"/>
      <c r="BA134" s="33"/>
      <c r="BB134" s="34"/>
      <c r="BC134" s="35"/>
      <c r="BD134" s="33"/>
      <c r="BE134" s="36"/>
      <c r="BF134" s="37"/>
      <c r="BG134" s="33"/>
      <c r="BH134" s="33"/>
      <c r="BI134" s="38"/>
      <c r="BJ134" s="37"/>
      <c r="BK134" s="37"/>
      <c r="BL134" s="37"/>
      <c r="BM134" s="37"/>
      <c r="BN134" s="37"/>
      <c r="BO134" s="37"/>
      <c r="BP134" s="37"/>
      <c r="BQ134" s="37"/>
      <c r="BR134" s="37"/>
      <c r="BS134" s="37"/>
      <c r="BT134" s="37"/>
      <c r="BU134" s="37"/>
      <c r="BV134" s="37"/>
      <c r="BW134" s="37"/>
      <c r="BX134" s="37"/>
      <c r="BY134" s="37"/>
      <c r="BZ134" s="37"/>
      <c r="CA134" s="37"/>
      <c r="CB134" s="37"/>
      <c r="CC134" s="37"/>
      <c r="CD134" s="37"/>
      <c r="CE134" s="37"/>
      <c r="CF134" s="37"/>
      <c r="CG134" s="37"/>
      <c r="CH134" s="37"/>
      <c r="CI134" s="37"/>
      <c r="CJ134" s="37"/>
      <c r="CK134" s="37"/>
      <c r="CL134" s="37"/>
      <c r="CM134" s="37"/>
      <c r="CN134" s="37"/>
      <c r="CO134" s="37"/>
      <c r="CP134" s="37"/>
      <c r="CQ134" s="37"/>
      <c r="CR134" s="37"/>
      <c r="CS134" s="37"/>
      <c r="CT134" s="37"/>
      <c r="CU134" s="37"/>
      <c r="CV134" s="37"/>
      <c r="CW134" s="37"/>
      <c r="CX134" s="37"/>
      <c r="CY134" s="37"/>
      <c r="CZ134" s="37"/>
      <c r="DA134" s="37"/>
      <c r="DB134" s="37"/>
      <c r="DC134" s="37"/>
      <c r="DD134" s="37"/>
      <c r="DE134" s="37"/>
      <c r="DF134" s="37"/>
      <c r="DG134" s="37"/>
      <c r="DH134" s="37"/>
      <c r="DI134" s="37"/>
      <c r="DJ134" s="37"/>
      <c r="DK134" s="37"/>
      <c r="DL134" s="37"/>
      <c r="DM134" s="37"/>
      <c r="DN134" s="37"/>
      <c r="DO134" s="37"/>
      <c r="DP134" s="37"/>
      <c r="DQ134" s="37"/>
      <c r="DR134" s="37"/>
      <c r="DS134" s="37"/>
      <c r="DT134" s="37"/>
      <c r="DU134" s="37"/>
      <c r="DV134" s="37"/>
      <c r="DW134" s="37"/>
      <c r="DX134" s="37"/>
      <c r="DY134" s="37"/>
      <c r="DZ134" s="37"/>
      <c r="EA134" s="37"/>
      <c r="EB134" s="37"/>
      <c r="EC134" s="37"/>
      <c r="ED134" s="37"/>
      <c r="EE134" s="37"/>
      <c r="EF134" s="37"/>
      <c r="EG134" s="37"/>
      <c r="EH134" s="37"/>
      <c r="EI134" s="37"/>
      <c r="EJ134" s="37"/>
      <c r="EK134" s="37"/>
      <c r="EL134" s="37"/>
      <c r="EM134" s="37"/>
      <c r="EN134" s="37"/>
      <c r="EO134" s="37"/>
      <c r="EP134" s="37"/>
      <c r="EQ134" s="37"/>
      <c r="ER134" s="37"/>
      <c r="ES134" s="37"/>
      <c r="ET134" s="37"/>
      <c r="EU134" s="37"/>
      <c r="EV134" s="37"/>
      <c r="EW134" s="37"/>
      <c r="EX134" s="37"/>
      <c r="EY134" s="37"/>
      <c r="EZ134" s="37"/>
      <c r="FA134" s="37"/>
      <c r="FB134" s="37"/>
      <c r="FC134" s="37"/>
      <c r="FD134" s="37"/>
      <c r="FE134" s="37"/>
      <c r="FF134" s="37"/>
      <c r="FG134" s="37"/>
      <c r="FH134" s="37"/>
      <c r="FI134" s="37"/>
      <c r="FJ134" s="37"/>
      <c r="FK134" s="37"/>
      <c r="FL134" s="37"/>
      <c r="FM134" s="37"/>
      <c r="FN134" s="37"/>
      <c r="FO134" s="37"/>
      <c r="FP134" s="37"/>
      <c r="FQ134" s="37"/>
      <c r="FR134" s="37"/>
      <c r="FS134" s="37"/>
      <c r="FT134" s="37"/>
      <c r="FU134" s="37"/>
      <c r="FV134" s="37"/>
      <c r="FW134" s="37"/>
      <c r="FX134" s="37"/>
      <c r="FY134" s="37"/>
      <c r="FZ134" s="37"/>
      <c r="GA134" s="37"/>
      <c r="GB134" s="37"/>
      <c r="GC134" s="37"/>
      <c r="GD134" s="37"/>
      <c r="GE134" s="37"/>
      <c r="GF134" s="37"/>
      <c r="GG134" s="37"/>
      <c r="GH134" s="37"/>
      <c r="GI134" s="37"/>
      <c r="GJ134" s="37"/>
      <c r="GK134" s="37"/>
      <c r="GL134" s="37"/>
      <c r="GM134" s="37"/>
      <c r="GN134" s="37"/>
      <c r="GO134" s="37"/>
    </row>
    <row r="135" spans="1:197" s="92" customFormat="1" x14ac:dyDescent="0.55000000000000004">
      <c r="A135" s="37"/>
      <c r="B135" s="47"/>
      <c r="C135" s="135" t="s">
        <v>58</v>
      </c>
      <c r="D135" s="158" t="s">
        <v>287</v>
      </c>
      <c r="E135" t="s">
        <v>375</v>
      </c>
      <c r="F135" s="158" t="s">
        <v>246</v>
      </c>
      <c r="G135" s="37"/>
      <c r="H135" s="32">
        <v>4720</v>
      </c>
      <c r="I135" s="33"/>
      <c r="J135" s="94">
        <f t="shared" si="240"/>
        <v>612.48866287088731</v>
      </c>
      <c r="K135" s="35"/>
      <c r="L135" s="23">
        <v>2.5605000000000002</v>
      </c>
      <c r="M135" s="23">
        <v>1.7529999999999997</v>
      </c>
      <c r="N135" s="23">
        <v>3.5310000000000001</v>
      </c>
      <c r="O135" s="23">
        <v>0.38450000000000001</v>
      </c>
      <c r="P135" s="33"/>
      <c r="Q135" s="23">
        <v>2.403</v>
      </c>
      <c r="R135" s="23">
        <v>0.33100000000000002</v>
      </c>
      <c r="S135" s="23">
        <v>0.106</v>
      </c>
      <c r="T135" s="23">
        <v>0.16300000000000001</v>
      </c>
      <c r="U135" s="33"/>
      <c r="V135" s="48">
        <f t="shared" si="241"/>
        <v>0.79528542329856611</v>
      </c>
      <c r="W135" s="33">
        <f t="shared" si="242"/>
        <v>0.1129342081469578</v>
      </c>
      <c r="X135" s="48">
        <f t="shared" si="243"/>
        <v>3.6166241883920015E-2</v>
      </c>
      <c r="Y135" s="48">
        <f t="shared" si="244"/>
        <v>5.5614126670556256E-2</v>
      </c>
      <c r="Z135" s="48"/>
      <c r="AA135" s="48">
        <f t="shared" si="245"/>
        <v>-3.5267265346205438E-2</v>
      </c>
      <c r="AB135" s="48">
        <f t="shared" si="246"/>
        <v>2.2046112655645343E-3</v>
      </c>
      <c r="AC135" s="48">
        <f t="shared" si="247"/>
        <v>8.6791686823010039</v>
      </c>
      <c r="AD135" s="48"/>
      <c r="AE135" s="48">
        <f t="shared" si="248"/>
        <v>-3.2351188133191022</v>
      </c>
      <c r="AF135" s="48">
        <f t="shared" si="249"/>
        <v>1.7278760295254048E-2</v>
      </c>
      <c r="AG135" s="48">
        <f t="shared" si="250"/>
        <v>8111.6128665473434</v>
      </c>
      <c r="AH135" s="33"/>
      <c r="AI135" s="48">
        <f t="shared" si="251"/>
        <v>-0.93957013681060408</v>
      </c>
      <c r="AJ135" s="48">
        <f t="shared" si="252"/>
        <v>2.8417183659398056E-2</v>
      </c>
      <c r="AK135" s="48">
        <f t="shared" si="253"/>
        <v>2755.7918654419432</v>
      </c>
      <c r="AL135" s="33"/>
      <c r="AM135" s="33"/>
      <c r="AN135" s="48">
        <f t="shared" si="254"/>
        <v>0.28536146451164413</v>
      </c>
      <c r="AO135" s="48">
        <f t="shared" si="255"/>
        <v>0.22100403152705081</v>
      </c>
      <c r="AP135" s="48">
        <f t="shared" si="256"/>
        <v>0.44515986042328387</v>
      </c>
      <c r="AQ135" s="48">
        <f t="shared" si="257"/>
        <v>4.8474643538021139E-2</v>
      </c>
      <c r="AR135" s="33"/>
      <c r="AS135" s="48"/>
      <c r="AT135" s="33">
        <f t="shared" si="258"/>
        <v>172672.53099707584</v>
      </c>
      <c r="AU135" s="33">
        <f t="shared" si="259"/>
        <v>194.96950419637324</v>
      </c>
      <c r="AV135" s="35">
        <f t="shared" si="260"/>
        <v>612.48866287088731</v>
      </c>
      <c r="AW135" s="33"/>
      <c r="AX135" s="35"/>
      <c r="AY135" s="33"/>
      <c r="AZ135" s="33"/>
      <c r="BA135" s="33"/>
      <c r="BB135" s="34"/>
      <c r="BC135" s="35"/>
      <c r="BD135" s="33"/>
      <c r="BE135" s="36"/>
      <c r="BF135" s="37"/>
      <c r="BG135" s="33"/>
      <c r="BH135" s="33"/>
      <c r="BI135" s="38"/>
      <c r="BJ135" s="37"/>
      <c r="BK135" s="37"/>
      <c r="BL135" s="37"/>
      <c r="BM135" s="37"/>
      <c r="BN135" s="37"/>
      <c r="BO135" s="37"/>
      <c r="BP135" s="37"/>
      <c r="BQ135" s="37"/>
      <c r="BR135" s="37"/>
      <c r="BS135" s="37"/>
      <c r="BT135" s="37"/>
      <c r="BU135" s="37"/>
      <c r="BV135" s="37"/>
      <c r="BW135" s="37"/>
      <c r="BX135" s="37"/>
      <c r="BY135" s="37"/>
      <c r="BZ135" s="37"/>
      <c r="CA135" s="37"/>
      <c r="CB135" s="37"/>
      <c r="CC135" s="37"/>
      <c r="CD135" s="37"/>
      <c r="CE135" s="37"/>
      <c r="CF135" s="37"/>
      <c r="CG135" s="37"/>
      <c r="CH135" s="37"/>
      <c r="CI135" s="37"/>
      <c r="CJ135" s="37"/>
      <c r="CK135" s="37"/>
      <c r="CL135" s="37"/>
      <c r="CM135" s="37"/>
      <c r="CN135" s="37"/>
      <c r="CO135" s="37"/>
      <c r="CP135" s="37"/>
      <c r="CQ135" s="37"/>
      <c r="CR135" s="37"/>
      <c r="CS135" s="37"/>
      <c r="CT135" s="37"/>
      <c r="CU135" s="37"/>
      <c r="CV135" s="37"/>
      <c r="CW135" s="37"/>
      <c r="CX135" s="37"/>
      <c r="CY135" s="37"/>
      <c r="CZ135" s="37"/>
      <c r="DA135" s="37"/>
      <c r="DB135" s="37"/>
      <c r="DC135" s="37"/>
      <c r="DD135" s="37"/>
      <c r="DE135" s="37"/>
      <c r="DF135" s="37"/>
      <c r="DG135" s="37"/>
      <c r="DH135" s="37"/>
      <c r="DI135" s="37"/>
      <c r="DJ135" s="37"/>
      <c r="DK135" s="37"/>
      <c r="DL135" s="37"/>
      <c r="DM135" s="37"/>
      <c r="DN135" s="37"/>
      <c r="DO135" s="37"/>
      <c r="DP135" s="37"/>
      <c r="DQ135" s="37"/>
      <c r="DR135" s="37"/>
      <c r="DS135" s="37"/>
      <c r="DT135" s="37"/>
      <c r="DU135" s="37"/>
      <c r="DV135" s="37"/>
      <c r="DW135" s="37"/>
      <c r="DX135" s="37"/>
      <c r="DY135" s="37"/>
      <c r="DZ135" s="37"/>
      <c r="EA135" s="37"/>
      <c r="EB135" s="37"/>
      <c r="EC135" s="37"/>
      <c r="ED135" s="37"/>
      <c r="EE135" s="37"/>
      <c r="EF135" s="37"/>
      <c r="EG135" s="37"/>
      <c r="EH135" s="37"/>
      <c r="EI135" s="37"/>
      <c r="EJ135" s="37"/>
      <c r="EK135" s="37"/>
      <c r="EL135" s="37"/>
      <c r="EM135" s="37"/>
      <c r="EN135" s="37"/>
      <c r="EO135" s="37"/>
      <c r="EP135" s="37"/>
      <c r="EQ135" s="37"/>
      <c r="ER135" s="37"/>
      <c r="ES135" s="37"/>
      <c r="ET135" s="37"/>
      <c r="EU135" s="37"/>
      <c r="EV135" s="37"/>
      <c r="EW135" s="37"/>
      <c r="EX135" s="37"/>
      <c r="EY135" s="37"/>
      <c r="EZ135" s="37"/>
      <c r="FA135" s="37"/>
      <c r="FB135" s="37"/>
      <c r="FC135" s="37"/>
      <c r="FD135" s="37"/>
      <c r="FE135" s="37"/>
      <c r="FF135" s="37"/>
      <c r="FG135" s="37"/>
      <c r="FH135" s="37"/>
      <c r="FI135" s="37"/>
      <c r="FJ135" s="37"/>
      <c r="FK135" s="37"/>
      <c r="FL135" s="37"/>
      <c r="FM135" s="37"/>
      <c r="FN135" s="37"/>
      <c r="FO135" s="37"/>
      <c r="FP135" s="37"/>
      <c r="FQ135" s="37"/>
      <c r="FR135" s="37"/>
      <c r="FS135" s="37"/>
      <c r="FT135" s="37"/>
      <c r="FU135" s="37"/>
      <c r="FV135" s="37"/>
      <c r="FW135" s="37"/>
      <c r="FX135" s="37"/>
      <c r="FY135" s="37"/>
      <c r="FZ135" s="37"/>
      <c r="GA135" s="37"/>
      <c r="GB135" s="37"/>
      <c r="GC135" s="37"/>
      <c r="GD135" s="37"/>
      <c r="GE135" s="37"/>
      <c r="GF135" s="37"/>
      <c r="GG135" s="37"/>
      <c r="GH135" s="37"/>
      <c r="GI135" s="37"/>
      <c r="GJ135" s="37"/>
      <c r="GK135" s="37"/>
      <c r="GL135" s="37"/>
      <c r="GM135" s="37"/>
      <c r="GN135" s="37"/>
      <c r="GO135" s="37"/>
    </row>
    <row r="136" spans="1:197" s="92" customFormat="1" x14ac:dyDescent="0.55000000000000004">
      <c r="A136" s="37"/>
      <c r="B136" s="47"/>
      <c r="C136" s="135" t="s">
        <v>58</v>
      </c>
      <c r="D136" s="156" t="s">
        <v>287</v>
      </c>
      <c r="E136" s="79" t="s">
        <v>376</v>
      </c>
      <c r="F136" s="158" t="s">
        <v>247</v>
      </c>
      <c r="G136" s="37"/>
      <c r="H136" s="32">
        <v>4720</v>
      </c>
      <c r="I136" s="33"/>
      <c r="J136" s="94">
        <f t="shared" si="240"/>
        <v>615.66605703664595</v>
      </c>
      <c r="K136" s="35"/>
      <c r="L136" s="23">
        <v>2.5605000000000002</v>
      </c>
      <c r="M136" s="23">
        <v>1.7529999999999997</v>
      </c>
      <c r="N136" s="23">
        <v>3.5310000000000001</v>
      </c>
      <c r="O136" s="23">
        <v>0.38450000000000001</v>
      </c>
      <c r="P136" s="33"/>
      <c r="Q136" s="23">
        <v>2.3860000000000001</v>
      </c>
      <c r="R136" s="23">
        <v>0.33900000000000002</v>
      </c>
      <c r="S136" s="23">
        <v>0.105</v>
      </c>
      <c r="T136" s="23">
        <v>0.16200000000000001</v>
      </c>
      <c r="U136" s="33"/>
      <c r="V136" s="48">
        <f t="shared" si="241"/>
        <v>0.79249559994795271</v>
      </c>
      <c r="W136" s="33">
        <f t="shared" si="242"/>
        <v>0.11607919408852152</v>
      </c>
      <c r="X136" s="48">
        <f t="shared" si="243"/>
        <v>3.5953732682285425E-2</v>
      </c>
      <c r="Y136" s="48">
        <f t="shared" si="244"/>
        <v>5.5471473281240372E-2</v>
      </c>
      <c r="Z136" s="48"/>
      <c r="AA136" s="48">
        <f t="shared" si="245"/>
        <v>-4.0346351595202806E-2</v>
      </c>
      <c r="AB136" s="48">
        <f t="shared" si="246"/>
        <v>2.2871815626758192E-3</v>
      </c>
      <c r="AC136" s="48">
        <f t="shared" si="247"/>
        <v>16.468140348736959</v>
      </c>
      <c r="AD136" s="48"/>
      <c r="AE136" s="48">
        <f t="shared" si="248"/>
        <v>-3.1664288673302901</v>
      </c>
      <c r="AF136" s="48">
        <f t="shared" si="249"/>
        <v>1.6844897418906688E-2</v>
      </c>
      <c r="AG136" s="48">
        <f t="shared" si="250"/>
        <v>7988.9129852511505</v>
      </c>
      <c r="AH136" s="33"/>
      <c r="AI136" s="48">
        <f t="shared" si="251"/>
        <v>-0.9585969505835914</v>
      </c>
      <c r="AJ136" s="48">
        <f t="shared" si="252"/>
        <v>2.8033965231432239E-2</v>
      </c>
      <c r="AK136" s="48">
        <f t="shared" si="253"/>
        <v>2833.8145671606144</v>
      </c>
      <c r="AL136" s="33"/>
      <c r="AM136" s="33"/>
      <c r="AN136" s="48">
        <f t="shared" si="254"/>
        <v>0.28536146451164413</v>
      </c>
      <c r="AO136" s="48">
        <f t="shared" si="255"/>
        <v>0.22100403152705081</v>
      </c>
      <c r="AP136" s="48">
        <f t="shared" si="256"/>
        <v>0.44515986042328387</v>
      </c>
      <c r="AQ136" s="48">
        <f t="shared" si="257"/>
        <v>4.8474643538021139E-2</v>
      </c>
      <c r="AR136" s="33"/>
      <c r="AS136" s="48"/>
      <c r="AT136" s="33">
        <f t="shared" si="258"/>
        <v>172539.6045795345</v>
      </c>
      <c r="AU136" s="33">
        <f t="shared" si="259"/>
        <v>194.12296077862226</v>
      </c>
      <c r="AV136" s="35">
        <f t="shared" si="260"/>
        <v>615.66605703664595</v>
      </c>
      <c r="AW136" s="33"/>
      <c r="AX136" s="35"/>
      <c r="AY136" s="33"/>
      <c r="AZ136" s="33"/>
      <c r="BA136" s="33"/>
      <c r="BB136" s="34"/>
      <c r="BC136" s="35"/>
      <c r="BD136" s="33"/>
      <c r="BE136" s="36"/>
      <c r="BF136" s="37"/>
      <c r="BG136" s="33"/>
      <c r="BH136" s="33"/>
      <c r="BI136" s="38"/>
      <c r="BJ136" s="37"/>
      <c r="BK136" s="37"/>
      <c r="BL136" s="37"/>
      <c r="BM136" s="37"/>
      <c r="BN136" s="37"/>
      <c r="BO136" s="37"/>
      <c r="BP136" s="37"/>
      <c r="BQ136" s="37"/>
      <c r="BR136" s="37"/>
      <c r="BS136" s="37"/>
      <c r="BT136" s="37"/>
      <c r="BU136" s="37"/>
      <c r="BV136" s="37"/>
      <c r="BW136" s="37"/>
      <c r="BX136" s="37"/>
      <c r="BY136" s="37"/>
      <c r="BZ136" s="37"/>
      <c r="CA136" s="37"/>
      <c r="CB136" s="37"/>
      <c r="CC136" s="37"/>
      <c r="CD136" s="37"/>
      <c r="CE136" s="37"/>
      <c r="CF136" s="37"/>
      <c r="CG136" s="37"/>
      <c r="CH136" s="37"/>
      <c r="CI136" s="37"/>
      <c r="CJ136" s="37"/>
      <c r="CK136" s="37"/>
      <c r="CL136" s="37"/>
      <c r="CM136" s="37"/>
      <c r="CN136" s="37"/>
      <c r="CO136" s="37"/>
      <c r="CP136" s="37"/>
      <c r="CQ136" s="37"/>
      <c r="CR136" s="37"/>
      <c r="CS136" s="37"/>
      <c r="CT136" s="37"/>
      <c r="CU136" s="37"/>
      <c r="CV136" s="37"/>
      <c r="CW136" s="37"/>
      <c r="CX136" s="37"/>
      <c r="CY136" s="37"/>
      <c r="CZ136" s="37"/>
      <c r="DA136" s="37"/>
      <c r="DB136" s="37"/>
      <c r="DC136" s="37"/>
      <c r="DD136" s="37"/>
      <c r="DE136" s="37"/>
      <c r="DF136" s="37"/>
      <c r="DG136" s="37"/>
      <c r="DH136" s="37"/>
      <c r="DI136" s="37"/>
      <c r="DJ136" s="37"/>
      <c r="DK136" s="37"/>
      <c r="DL136" s="37"/>
      <c r="DM136" s="37"/>
      <c r="DN136" s="37"/>
      <c r="DO136" s="37"/>
      <c r="DP136" s="37"/>
      <c r="DQ136" s="37"/>
      <c r="DR136" s="37"/>
      <c r="DS136" s="37"/>
      <c r="DT136" s="37"/>
      <c r="DU136" s="37"/>
      <c r="DV136" s="37"/>
      <c r="DW136" s="37"/>
      <c r="DX136" s="37"/>
      <c r="DY136" s="37"/>
      <c r="DZ136" s="37"/>
      <c r="EA136" s="37"/>
      <c r="EB136" s="37"/>
      <c r="EC136" s="37"/>
      <c r="ED136" s="37"/>
      <c r="EE136" s="37"/>
      <c r="EF136" s="37"/>
      <c r="EG136" s="37"/>
      <c r="EH136" s="37"/>
      <c r="EI136" s="37"/>
      <c r="EJ136" s="37"/>
      <c r="EK136" s="37"/>
      <c r="EL136" s="37"/>
      <c r="EM136" s="37"/>
      <c r="EN136" s="37"/>
      <c r="EO136" s="37"/>
      <c r="EP136" s="37"/>
      <c r="EQ136" s="37"/>
      <c r="ER136" s="37"/>
      <c r="ES136" s="37"/>
      <c r="ET136" s="37"/>
      <c r="EU136" s="37"/>
      <c r="EV136" s="37"/>
      <c r="EW136" s="37"/>
      <c r="EX136" s="37"/>
      <c r="EY136" s="37"/>
      <c r="EZ136" s="37"/>
      <c r="FA136" s="37"/>
      <c r="FB136" s="37"/>
      <c r="FC136" s="37"/>
      <c r="FD136" s="37"/>
      <c r="FE136" s="37"/>
      <c r="FF136" s="37"/>
      <c r="FG136" s="37"/>
      <c r="FH136" s="37"/>
      <c r="FI136" s="37"/>
      <c r="FJ136" s="37"/>
      <c r="FK136" s="37"/>
      <c r="FL136" s="37"/>
      <c r="FM136" s="37"/>
      <c r="FN136" s="37"/>
      <c r="FO136" s="37"/>
      <c r="FP136" s="37"/>
      <c r="FQ136" s="37"/>
      <c r="FR136" s="37"/>
      <c r="FS136" s="37"/>
      <c r="FT136" s="37"/>
      <c r="FU136" s="37"/>
      <c r="FV136" s="37"/>
      <c r="FW136" s="37"/>
      <c r="FX136" s="37"/>
      <c r="FY136" s="37"/>
      <c r="FZ136" s="37"/>
      <c r="GA136" s="37"/>
      <c r="GB136" s="37"/>
      <c r="GC136" s="37"/>
      <c r="GD136" s="37"/>
      <c r="GE136" s="37"/>
      <c r="GF136" s="37"/>
      <c r="GG136" s="37"/>
      <c r="GH136" s="37"/>
      <c r="GI136" s="37"/>
      <c r="GJ136" s="37"/>
      <c r="GK136" s="37"/>
      <c r="GL136" s="37"/>
      <c r="GM136" s="37"/>
      <c r="GN136" s="37"/>
      <c r="GO136" s="37"/>
    </row>
    <row r="137" spans="1:197" s="92" customFormat="1" x14ac:dyDescent="0.55000000000000004">
      <c r="A137" s="37"/>
      <c r="B137" s="47"/>
      <c r="C137" s="135" t="s">
        <v>58</v>
      </c>
      <c r="D137" s="156" t="s">
        <v>287</v>
      </c>
      <c r="E137" s="79" t="s">
        <v>366</v>
      </c>
      <c r="F137" s="158" t="s">
        <v>250</v>
      </c>
      <c r="G137" s="37"/>
      <c r="H137" s="32">
        <v>4720</v>
      </c>
      <c r="I137" s="33"/>
      <c r="J137" s="94">
        <f t="shared" si="240"/>
        <v>616.47594545032939</v>
      </c>
      <c r="K137" s="35"/>
      <c r="L137" s="23">
        <v>2.5605000000000002</v>
      </c>
      <c r="M137" s="23">
        <v>1.7529999999999997</v>
      </c>
      <c r="N137" s="23">
        <v>3.5310000000000001</v>
      </c>
      <c r="O137" s="23">
        <v>0.38450000000000001</v>
      </c>
      <c r="P137" s="33"/>
      <c r="Q137" s="23">
        <v>2.37</v>
      </c>
      <c r="R137" s="23">
        <v>0.33900000000000002</v>
      </c>
      <c r="S137" s="23">
        <v>0.11</v>
      </c>
      <c r="T137" s="23">
        <v>0.157</v>
      </c>
      <c r="U137" s="33"/>
      <c r="V137" s="48">
        <f t="shared" si="241"/>
        <v>0.79138696684911702</v>
      </c>
      <c r="W137" s="33">
        <f t="shared" si="242"/>
        <v>0.1166993700299494</v>
      </c>
      <c r="X137" s="48">
        <f t="shared" si="243"/>
        <v>3.7867052222107477E-2</v>
      </c>
      <c r="Y137" s="48">
        <f t="shared" si="244"/>
        <v>5.404661089882612E-2</v>
      </c>
      <c r="Z137" s="48"/>
      <c r="AA137" s="48">
        <f t="shared" si="245"/>
        <v>-4.1373305827340792E-2</v>
      </c>
      <c r="AB137" s="48">
        <f t="shared" si="246"/>
        <v>2.3138834827941862E-3</v>
      </c>
      <c r="AC137" s="48">
        <f t="shared" si="247"/>
        <v>13.558814412761805</v>
      </c>
      <c r="AD137" s="48"/>
      <c r="AE137" s="48">
        <f t="shared" si="248"/>
        <v>-3.1409248404982466</v>
      </c>
      <c r="AF137" s="48">
        <f t="shared" si="249"/>
        <v>1.6553210977010742E-2</v>
      </c>
      <c r="AG137" s="48">
        <f t="shared" si="250"/>
        <v>7971.8184492266473</v>
      </c>
      <c r="AH137" s="33"/>
      <c r="AI137" s="48">
        <f t="shared" si="251"/>
        <v>-0.98748988743513944</v>
      </c>
      <c r="AJ137" s="48">
        <f t="shared" si="252"/>
        <v>2.8113064296461758E-2</v>
      </c>
      <c r="AK137" s="48">
        <f t="shared" si="253"/>
        <v>2894.2920691695235</v>
      </c>
      <c r="AL137" s="33"/>
      <c r="AM137" s="33"/>
      <c r="AN137" s="48">
        <f t="shared" si="254"/>
        <v>0.28536146451164413</v>
      </c>
      <c r="AO137" s="48">
        <f t="shared" si="255"/>
        <v>0.22100403152705081</v>
      </c>
      <c r="AP137" s="48">
        <f t="shared" si="256"/>
        <v>0.44515986042328387</v>
      </c>
      <c r="AQ137" s="48">
        <f t="shared" si="257"/>
        <v>4.8474643538021139E-2</v>
      </c>
      <c r="AR137" s="33"/>
      <c r="AS137" s="48"/>
      <c r="AT137" s="33">
        <f t="shared" si="258"/>
        <v>172523.91657637726</v>
      </c>
      <c r="AU137" s="33">
        <f t="shared" si="259"/>
        <v>193.92860275567335</v>
      </c>
      <c r="AV137" s="35">
        <f t="shared" si="260"/>
        <v>616.47594545032939</v>
      </c>
      <c r="AW137" s="33"/>
      <c r="AX137" s="35"/>
      <c r="AY137" s="33"/>
      <c r="AZ137" s="33"/>
      <c r="BA137" s="33"/>
      <c r="BB137" s="34"/>
      <c r="BC137" s="35"/>
      <c r="BD137" s="33"/>
      <c r="BE137" s="36"/>
      <c r="BF137" s="37"/>
      <c r="BG137" s="33"/>
      <c r="BH137" s="33"/>
      <c r="BI137" s="38"/>
      <c r="BJ137" s="37"/>
      <c r="BK137" s="37"/>
      <c r="BL137" s="37"/>
      <c r="BM137" s="37"/>
      <c r="BN137" s="37"/>
      <c r="BO137" s="37"/>
      <c r="BP137" s="37"/>
      <c r="BQ137" s="37"/>
      <c r="BR137" s="37"/>
      <c r="BS137" s="37"/>
      <c r="BT137" s="37"/>
      <c r="BU137" s="37"/>
      <c r="BV137" s="37"/>
      <c r="BW137" s="37"/>
      <c r="BX137" s="37"/>
      <c r="BY137" s="37"/>
      <c r="BZ137" s="37"/>
      <c r="CA137" s="37"/>
      <c r="CB137" s="37"/>
      <c r="CC137" s="37"/>
      <c r="CD137" s="37"/>
      <c r="CE137" s="37"/>
      <c r="CF137" s="37"/>
      <c r="CG137" s="37"/>
      <c r="CH137" s="37"/>
      <c r="CI137" s="37"/>
      <c r="CJ137" s="37"/>
      <c r="CK137" s="37"/>
      <c r="CL137" s="37"/>
      <c r="CM137" s="37"/>
      <c r="CN137" s="37"/>
      <c r="CO137" s="37"/>
      <c r="CP137" s="37"/>
      <c r="CQ137" s="37"/>
      <c r="CR137" s="37"/>
      <c r="CS137" s="37"/>
      <c r="CT137" s="37"/>
      <c r="CU137" s="37"/>
      <c r="CV137" s="37"/>
      <c r="CW137" s="37"/>
      <c r="CX137" s="37"/>
      <c r="CY137" s="37"/>
      <c r="CZ137" s="37"/>
      <c r="DA137" s="37"/>
      <c r="DB137" s="37"/>
      <c r="DC137" s="37"/>
      <c r="DD137" s="37"/>
      <c r="DE137" s="37"/>
      <c r="DF137" s="37"/>
      <c r="DG137" s="37"/>
      <c r="DH137" s="37"/>
      <c r="DI137" s="37"/>
      <c r="DJ137" s="37"/>
      <c r="DK137" s="37"/>
      <c r="DL137" s="37"/>
      <c r="DM137" s="37"/>
      <c r="DN137" s="37"/>
      <c r="DO137" s="37"/>
      <c r="DP137" s="37"/>
      <c r="DQ137" s="37"/>
      <c r="DR137" s="37"/>
      <c r="DS137" s="37"/>
      <c r="DT137" s="37"/>
      <c r="DU137" s="37"/>
      <c r="DV137" s="37"/>
      <c r="DW137" s="37"/>
      <c r="DX137" s="37"/>
      <c r="DY137" s="37"/>
      <c r="DZ137" s="37"/>
      <c r="EA137" s="37"/>
      <c r="EB137" s="37"/>
      <c r="EC137" s="37"/>
      <c r="ED137" s="37"/>
      <c r="EE137" s="37"/>
      <c r="EF137" s="37"/>
      <c r="EG137" s="37"/>
      <c r="EH137" s="37"/>
      <c r="EI137" s="37"/>
      <c r="EJ137" s="37"/>
      <c r="EK137" s="37"/>
      <c r="EL137" s="37"/>
      <c r="EM137" s="37"/>
      <c r="EN137" s="37"/>
      <c r="EO137" s="37"/>
      <c r="EP137" s="37"/>
      <c r="EQ137" s="37"/>
      <c r="ER137" s="37"/>
      <c r="ES137" s="37"/>
      <c r="ET137" s="37"/>
      <c r="EU137" s="37"/>
      <c r="EV137" s="37"/>
      <c r="EW137" s="37"/>
      <c r="EX137" s="37"/>
      <c r="EY137" s="37"/>
      <c r="EZ137" s="37"/>
      <c r="FA137" s="37"/>
      <c r="FB137" s="37"/>
      <c r="FC137" s="37"/>
      <c r="FD137" s="37"/>
      <c r="FE137" s="37"/>
      <c r="FF137" s="37"/>
      <c r="FG137" s="37"/>
      <c r="FH137" s="37"/>
      <c r="FI137" s="37"/>
      <c r="FJ137" s="37"/>
      <c r="FK137" s="37"/>
      <c r="FL137" s="37"/>
      <c r="FM137" s="37"/>
      <c r="FN137" s="37"/>
      <c r="FO137" s="37"/>
      <c r="FP137" s="37"/>
      <c r="FQ137" s="37"/>
      <c r="FR137" s="37"/>
      <c r="FS137" s="37"/>
      <c r="FT137" s="37"/>
      <c r="FU137" s="37"/>
      <c r="FV137" s="37"/>
      <c r="FW137" s="37"/>
      <c r="FX137" s="37"/>
      <c r="FY137" s="37"/>
      <c r="FZ137" s="37"/>
      <c r="GA137" s="37"/>
      <c r="GB137" s="37"/>
      <c r="GC137" s="37"/>
      <c r="GD137" s="37"/>
      <c r="GE137" s="37"/>
      <c r="GF137" s="37"/>
      <c r="GG137" s="37"/>
      <c r="GH137" s="37"/>
      <c r="GI137" s="37"/>
      <c r="GJ137" s="37"/>
      <c r="GK137" s="37"/>
      <c r="GL137" s="37"/>
      <c r="GM137" s="37"/>
      <c r="GN137" s="37"/>
      <c r="GO137" s="37"/>
    </row>
    <row r="138" spans="1:197" s="92" customFormat="1" x14ac:dyDescent="0.55000000000000004">
      <c r="A138" s="37"/>
      <c r="B138" s="47"/>
      <c r="C138" s="137"/>
      <c r="D138" s="141"/>
      <c r="E138" s="135"/>
      <c r="F138" s="141"/>
      <c r="H138" s="32"/>
      <c r="I138" s="37" t="s">
        <v>59</v>
      </c>
      <c r="J138" s="153">
        <f>AVERAGE(J127:J137)</f>
        <v>600.34440151341494</v>
      </c>
      <c r="K138" s="35"/>
      <c r="L138" s="23"/>
      <c r="M138" s="23"/>
      <c r="N138" s="23"/>
      <c r="O138" s="23"/>
      <c r="P138" s="33"/>
      <c r="Q138" s="23"/>
      <c r="R138" s="23"/>
      <c r="S138" s="23"/>
      <c r="T138" s="23"/>
      <c r="U138" s="33"/>
      <c r="V138" s="48"/>
      <c r="W138" s="33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33"/>
      <c r="AI138" s="48"/>
      <c r="AJ138" s="48"/>
      <c r="AK138" s="48"/>
      <c r="AL138" s="33"/>
      <c r="AM138" s="33"/>
      <c r="AN138" s="48"/>
      <c r="AO138" s="48"/>
      <c r="AP138" s="48"/>
      <c r="AQ138" s="48"/>
      <c r="AR138" s="33"/>
      <c r="AS138" s="48"/>
      <c r="AT138" s="33"/>
      <c r="AU138" s="33"/>
      <c r="AV138" s="35"/>
      <c r="AW138" s="33"/>
      <c r="AX138" s="35"/>
      <c r="AY138" s="33"/>
      <c r="AZ138" s="33"/>
      <c r="BA138" s="33"/>
      <c r="BB138" s="34"/>
      <c r="BC138" s="35"/>
      <c r="BD138" s="33"/>
      <c r="BE138" s="36"/>
      <c r="BF138" s="37"/>
      <c r="BG138" s="33"/>
      <c r="BH138" s="33"/>
      <c r="BI138" s="38"/>
      <c r="BJ138" s="37"/>
      <c r="BK138" s="37"/>
      <c r="BL138" s="37"/>
      <c r="BM138" s="37"/>
      <c r="BN138" s="37"/>
      <c r="BO138" s="37"/>
      <c r="BP138" s="37"/>
      <c r="BQ138" s="37"/>
      <c r="BR138" s="37"/>
      <c r="BS138" s="37"/>
      <c r="BT138" s="37"/>
      <c r="BU138" s="37"/>
      <c r="BV138" s="37"/>
      <c r="BW138" s="37"/>
      <c r="BX138" s="37"/>
      <c r="BY138" s="37"/>
      <c r="BZ138" s="37"/>
      <c r="CA138" s="37"/>
      <c r="CB138" s="37"/>
      <c r="CC138" s="37"/>
      <c r="CD138" s="37"/>
      <c r="CE138" s="37"/>
      <c r="CF138" s="37"/>
      <c r="CG138" s="37"/>
      <c r="CH138" s="37"/>
      <c r="CI138" s="37"/>
      <c r="CJ138" s="37"/>
      <c r="CK138" s="37"/>
      <c r="CL138" s="37"/>
      <c r="CM138" s="37"/>
      <c r="CN138" s="37"/>
      <c r="CO138" s="37"/>
      <c r="CP138" s="37"/>
      <c r="CQ138" s="37"/>
      <c r="CR138" s="37"/>
      <c r="CS138" s="37"/>
      <c r="CT138" s="37"/>
      <c r="CU138" s="37"/>
      <c r="CV138" s="37"/>
      <c r="CW138" s="37"/>
      <c r="CX138" s="37"/>
      <c r="CY138" s="37"/>
      <c r="CZ138" s="37"/>
      <c r="DA138" s="37"/>
      <c r="DB138" s="37"/>
      <c r="DC138" s="37"/>
      <c r="DD138" s="37"/>
      <c r="DE138" s="37"/>
      <c r="DF138" s="37"/>
      <c r="DG138" s="37"/>
      <c r="DH138" s="37"/>
      <c r="DI138" s="37"/>
      <c r="DJ138" s="37"/>
      <c r="DK138" s="37"/>
      <c r="DL138" s="37"/>
      <c r="DM138" s="37"/>
      <c r="DN138" s="37"/>
      <c r="DO138" s="37"/>
      <c r="DP138" s="37"/>
      <c r="DQ138" s="37"/>
      <c r="DR138" s="37"/>
      <c r="DS138" s="37"/>
      <c r="DT138" s="37"/>
      <c r="DU138" s="37"/>
      <c r="DV138" s="37"/>
      <c r="DW138" s="37"/>
      <c r="DX138" s="37"/>
      <c r="DY138" s="37"/>
      <c r="DZ138" s="37"/>
      <c r="EA138" s="37"/>
      <c r="EB138" s="37"/>
      <c r="EC138" s="37"/>
      <c r="ED138" s="37"/>
      <c r="EE138" s="37"/>
      <c r="EF138" s="37"/>
      <c r="EG138" s="37"/>
      <c r="EH138" s="37"/>
      <c r="EI138" s="37"/>
      <c r="EJ138" s="37"/>
      <c r="EK138" s="37"/>
      <c r="EL138" s="37"/>
      <c r="EM138" s="37"/>
      <c r="EN138" s="37"/>
      <c r="EO138" s="37"/>
      <c r="EP138" s="37"/>
      <c r="EQ138" s="37"/>
      <c r="ER138" s="37"/>
      <c r="ES138" s="37"/>
      <c r="ET138" s="37"/>
      <c r="EU138" s="37"/>
      <c r="EV138" s="37"/>
      <c r="EW138" s="37"/>
      <c r="EX138" s="37"/>
      <c r="EY138" s="37"/>
      <c r="EZ138" s="37"/>
      <c r="FA138" s="37"/>
      <c r="FB138" s="37"/>
      <c r="FC138" s="37"/>
      <c r="FD138" s="37"/>
      <c r="FE138" s="37"/>
      <c r="FF138" s="37"/>
      <c r="FG138" s="37"/>
      <c r="FH138" s="37"/>
      <c r="FI138" s="37"/>
      <c r="FJ138" s="37"/>
      <c r="FK138" s="37"/>
      <c r="FL138" s="37"/>
      <c r="FM138" s="37"/>
      <c r="FN138" s="37"/>
      <c r="FO138" s="37"/>
      <c r="FP138" s="37"/>
      <c r="FQ138" s="37"/>
      <c r="FR138" s="37"/>
      <c r="FS138" s="37"/>
      <c r="FT138" s="37"/>
      <c r="FU138" s="37"/>
      <c r="FV138" s="37"/>
      <c r="FW138" s="37"/>
      <c r="FX138" s="37"/>
      <c r="FY138" s="37"/>
      <c r="FZ138" s="37"/>
      <c r="GA138" s="37"/>
      <c r="GB138" s="37"/>
      <c r="GC138" s="37"/>
      <c r="GD138" s="37"/>
      <c r="GE138" s="37"/>
      <c r="GF138" s="37"/>
      <c r="GG138" s="37"/>
      <c r="GH138" s="37"/>
      <c r="GI138" s="37"/>
      <c r="GJ138" s="37"/>
      <c r="GK138" s="37"/>
      <c r="GL138" s="37"/>
      <c r="GM138" s="37"/>
      <c r="GN138" s="37"/>
      <c r="GO138" s="37"/>
    </row>
    <row r="139" spans="1:197" x14ac:dyDescent="0.55000000000000004">
      <c r="C139" s="135"/>
      <c r="H139" s="32"/>
      <c r="I139" s="33"/>
      <c r="J139" s="155"/>
      <c r="K139" s="35"/>
      <c r="L139" s="23"/>
      <c r="M139" s="23"/>
      <c r="N139" s="23"/>
      <c r="O139" s="23"/>
      <c r="P139" s="33"/>
      <c r="Q139" s="23"/>
      <c r="R139" s="23"/>
      <c r="S139" s="23"/>
      <c r="T139" s="23"/>
      <c r="U139" s="33"/>
      <c r="V139" s="48"/>
      <c r="W139" s="33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33"/>
      <c r="AI139" s="48"/>
      <c r="AJ139" s="48"/>
      <c r="AK139" s="48"/>
      <c r="AL139" s="33"/>
      <c r="AM139" s="33"/>
      <c r="AN139" s="48"/>
      <c r="AO139" s="48"/>
      <c r="AP139" s="48"/>
      <c r="AQ139" s="48"/>
      <c r="AR139" s="33"/>
      <c r="AS139" s="48"/>
      <c r="AT139" s="33"/>
      <c r="AU139" s="33"/>
      <c r="AV139" s="35"/>
      <c r="AW139" s="33"/>
      <c r="AX139" s="35"/>
      <c r="AY139" s="33"/>
      <c r="AZ139" s="33"/>
      <c r="BA139" s="33"/>
      <c r="BB139" s="34"/>
      <c r="BC139" s="35"/>
      <c r="BD139" s="33"/>
      <c r="BE139" s="36"/>
      <c r="BG139" s="33"/>
      <c r="BH139" s="33"/>
      <c r="BI139" s="38"/>
    </row>
    <row r="140" spans="1:197" s="183" customFormat="1" x14ac:dyDescent="0.55000000000000004">
      <c r="A140" s="88"/>
      <c r="B140" s="156" t="s">
        <v>84</v>
      </c>
      <c r="C140" s="135" t="s">
        <v>364</v>
      </c>
      <c r="D140" s="158" t="s">
        <v>248</v>
      </c>
      <c r="E140" s="88" t="s">
        <v>61</v>
      </c>
      <c r="F140" s="176" t="s">
        <v>363</v>
      </c>
      <c r="H140" s="168">
        <v>6740</v>
      </c>
      <c r="I140" s="103"/>
      <c r="J140" s="152">
        <v>657</v>
      </c>
      <c r="K140" s="104"/>
      <c r="L140" s="169">
        <v>2.5289999999999999</v>
      </c>
      <c r="M140" s="169">
        <v>1.796</v>
      </c>
      <c r="N140" s="169">
        <v>3.355</v>
      </c>
      <c r="O140" s="169">
        <v>0.40300000000000002</v>
      </c>
      <c r="P140" s="103"/>
      <c r="Q140" s="169">
        <v>2.3149999999999999</v>
      </c>
      <c r="R140" s="169">
        <v>0.49</v>
      </c>
      <c r="S140" s="169">
        <v>0.123</v>
      </c>
      <c r="T140" s="169">
        <v>0.08</v>
      </c>
      <c r="U140" s="103"/>
      <c r="V140" s="105">
        <v>0.76416940327712635</v>
      </c>
      <c r="W140" s="103">
        <v>0.16674890677374896</v>
      </c>
      <c r="X140" s="105">
        <v>4.1857378639124733E-2</v>
      </c>
      <c r="Y140" s="105">
        <v>2.7224311309999829E-2</v>
      </c>
      <c r="Z140" s="105"/>
      <c r="AA140" s="105">
        <v>-0.20500153550315098</v>
      </c>
      <c r="AB140" s="105">
        <v>3.7289831284156028E-3</v>
      </c>
      <c r="AC140" s="105">
        <v>250.53394050046586</v>
      </c>
      <c r="AD140" s="105"/>
      <c r="AE140" s="105">
        <v>-1.8222141916069534</v>
      </c>
      <c r="AF140" s="105">
        <v>1.0106132906407378E-2</v>
      </c>
      <c r="AG140" s="105">
        <v>5756.5879308428157</v>
      </c>
      <c r="AH140" s="103"/>
      <c r="AI140" s="105">
        <v>-1.4213058206925695</v>
      </c>
      <c r="AJ140" s="105">
        <v>2.2045749937709615E-2</v>
      </c>
      <c r="AK140" s="105">
        <v>4352.4684077410257</v>
      </c>
      <c r="AL140" s="103"/>
      <c r="AM140" s="103"/>
      <c r="AN140" s="105">
        <v>0.28700134383686221</v>
      </c>
      <c r="AO140" s="105">
        <v>0.23056276313809787</v>
      </c>
      <c r="AP140" s="105">
        <v>0.43070048459260485</v>
      </c>
      <c r="AQ140" s="105">
        <v>5.1735408432435105E-2</v>
      </c>
      <c r="AR140" s="103"/>
      <c r="AS140" s="105"/>
      <c r="AT140" s="103">
        <v>168288.93646541427</v>
      </c>
      <c r="AU140" s="104">
        <v>180.87576325696509</v>
      </c>
      <c r="AV140" s="104">
        <v>657.26175575486548</v>
      </c>
      <c r="AX140" s="104"/>
      <c r="AY140" s="103"/>
      <c r="AZ140" s="103"/>
      <c r="BA140" s="103"/>
      <c r="BB140" s="182"/>
      <c r="BC140" s="104"/>
      <c r="BD140" s="103"/>
      <c r="BE140" s="107"/>
      <c r="BF140" s="103"/>
      <c r="BG140" s="103"/>
      <c r="BH140" s="103"/>
      <c r="BI140" s="108"/>
      <c r="BJ140" s="103"/>
      <c r="BK140" s="103"/>
      <c r="BL140" s="103"/>
      <c r="BM140" s="103"/>
      <c r="BN140" s="103"/>
      <c r="BO140" s="103"/>
      <c r="BP140" s="103"/>
      <c r="BQ140" s="103"/>
      <c r="BR140" s="103"/>
      <c r="BS140" s="103"/>
      <c r="BT140" s="103"/>
      <c r="BU140" s="103"/>
      <c r="BV140" s="103"/>
      <c r="BW140" s="103"/>
      <c r="BX140" s="103"/>
      <c r="BY140" s="103"/>
      <c r="BZ140" s="103"/>
      <c r="CA140" s="103"/>
      <c r="CB140" s="103"/>
      <c r="CC140" s="103"/>
      <c r="CD140" s="103"/>
      <c r="CE140" s="103"/>
      <c r="CF140" s="103"/>
      <c r="CG140" s="103"/>
      <c r="CH140" s="103"/>
      <c r="CI140" s="103"/>
      <c r="CJ140" s="103"/>
      <c r="CK140" s="103"/>
      <c r="CL140" s="103"/>
      <c r="CM140" s="103"/>
      <c r="CN140" s="103"/>
      <c r="CO140" s="103"/>
      <c r="CP140" s="103"/>
      <c r="CQ140" s="103"/>
      <c r="CR140" s="103"/>
      <c r="CS140" s="103"/>
      <c r="CT140" s="103"/>
      <c r="CU140" s="103"/>
      <c r="CV140" s="103"/>
      <c r="CW140" s="103"/>
      <c r="CX140" s="103"/>
      <c r="CY140" s="103"/>
      <c r="CZ140" s="103"/>
      <c r="DA140" s="103"/>
      <c r="DB140" s="103"/>
      <c r="DC140" s="103"/>
      <c r="DD140" s="103"/>
      <c r="DE140" s="103"/>
      <c r="DF140" s="103"/>
      <c r="DG140" s="103"/>
      <c r="DH140" s="103"/>
      <c r="DI140" s="103"/>
      <c r="DJ140" s="103"/>
      <c r="DK140" s="103"/>
      <c r="DL140" s="103"/>
      <c r="DM140" s="103"/>
      <c r="DN140" s="103"/>
      <c r="DO140" s="103"/>
      <c r="DP140" s="103"/>
      <c r="DQ140" s="103"/>
      <c r="DR140" s="103"/>
      <c r="DS140" s="103"/>
      <c r="DT140" s="103"/>
      <c r="DU140" s="103"/>
      <c r="DV140" s="103"/>
      <c r="DW140" s="103"/>
      <c r="DX140" s="103"/>
      <c r="DY140" s="103"/>
      <c r="DZ140" s="103"/>
      <c r="EA140" s="103"/>
      <c r="EB140" s="103"/>
      <c r="EC140" s="103"/>
      <c r="ED140" s="103"/>
      <c r="EE140" s="103"/>
      <c r="EF140" s="103"/>
      <c r="EG140" s="103"/>
      <c r="EH140" s="103"/>
      <c r="EI140" s="103"/>
      <c r="EJ140" s="103"/>
      <c r="EK140" s="103"/>
      <c r="EL140" s="103"/>
      <c r="EM140" s="103"/>
      <c r="EN140" s="103"/>
      <c r="EO140" s="103"/>
      <c r="EP140" s="103"/>
      <c r="EQ140" s="103"/>
      <c r="ER140" s="103"/>
      <c r="ES140" s="103"/>
      <c r="ET140" s="103"/>
      <c r="EU140" s="103"/>
      <c r="EV140" s="103"/>
      <c r="EW140" s="103"/>
      <c r="EX140" s="103"/>
      <c r="EY140" s="103"/>
      <c r="EZ140" s="103"/>
      <c r="FA140" s="103"/>
      <c r="FB140" s="103"/>
      <c r="FC140" s="103"/>
      <c r="FD140" s="103"/>
      <c r="FE140" s="103"/>
      <c r="FF140" s="103"/>
      <c r="FG140" s="103"/>
      <c r="FH140" s="103"/>
      <c r="FI140" s="103"/>
      <c r="FJ140" s="103"/>
      <c r="FK140" s="103"/>
      <c r="FL140" s="103"/>
      <c r="FM140" s="103"/>
      <c r="FN140" s="103"/>
      <c r="FO140" s="103"/>
      <c r="FP140" s="103"/>
      <c r="FQ140" s="103"/>
      <c r="FR140" s="103"/>
      <c r="FS140" s="103"/>
      <c r="FT140" s="103"/>
      <c r="FU140" s="103"/>
      <c r="FV140" s="103"/>
      <c r="FW140" s="103"/>
      <c r="FX140" s="103"/>
      <c r="FY140" s="103"/>
      <c r="FZ140" s="103"/>
      <c r="GA140" s="103"/>
      <c r="GB140" s="103"/>
      <c r="GC140" s="103"/>
      <c r="GD140" s="103"/>
      <c r="GE140" s="103"/>
      <c r="GF140" s="103"/>
      <c r="GG140" s="103"/>
      <c r="GH140" s="103"/>
      <c r="GI140" s="103"/>
      <c r="GJ140" s="103"/>
      <c r="GK140" s="103"/>
      <c r="GL140" s="103"/>
      <c r="GM140" s="103"/>
      <c r="GN140" s="103"/>
      <c r="GO140" s="103"/>
    </row>
    <row r="141" spans="1:197" s="97" customFormat="1" x14ac:dyDescent="0.55000000000000004">
      <c r="A141" s="46"/>
      <c r="B141" s="175"/>
      <c r="C141" s="75"/>
      <c r="D141" s="145"/>
      <c r="E141" s="46"/>
      <c r="F141" s="145"/>
      <c r="G141" s="46"/>
      <c r="H141" s="40"/>
      <c r="I141" s="144"/>
      <c r="J141" s="149"/>
      <c r="K141" s="43"/>
      <c r="L141" s="96"/>
      <c r="M141" s="96"/>
      <c r="N141" s="96"/>
      <c r="O141" s="96"/>
      <c r="P141" s="41"/>
      <c r="Q141" s="96"/>
      <c r="R141" s="96"/>
      <c r="S141" s="96"/>
      <c r="T141" s="96"/>
      <c r="U141" s="41"/>
      <c r="V141" s="52"/>
      <c r="W141" s="41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41"/>
      <c r="AI141" s="52"/>
      <c r="AJ141" s="52"/>
      <c r="AK141" s="52"/>
      <c r="AL141" s="41"/>
      <c r="AM141" s="41"/>
      <c r="AN141" s="52"/>
      <c r="AO141" s="52"/>
      <c r="AP141" s="52"/>
      <c r="AQ141" s="52"/>
      <c r="AR141" s="41"/>
      <c r="AS141" s="52"/>
      <c r="AT141" s="41"/>
      <c r="AU141" s="41"/>
      <c r="AV141" s="43"/>
      <c r="AW141" s="41"/>
      <c r="AX141" s="43"/>
      <c r="AY141" s="41"/>
      <c r="AZ141" s="41"/>
      <c r="BA141" s="41"/>
      <c r="BB141" s="42"/>
      <c r="BC141" s="43"/>
      <c r="BD141" s="41"/>
      <c r="BE141" s="44"/>
      <c r="BF141" s="41"/>
      <c r="BG141" s="41"/>
      <c r="BH141" s="41"/>
      <c r="BI141" s="45"/>
      <c r="BJ141" s="41"/>
      <c r="BK141" s="41"/>
      <c r="BL141" s="41"/>
      <c r="BM141" s="41"/>
      <c r="BN141" s="41"/>
      <c r="BO141" s="41"/>
      <c r="BP141" s="41"/>
      <c r="BQ141" s="41"/>
      <c r="BR141" s="41"/>
      <c r="BS141" s="41"/>
      <c r="BT141" s="41"/>
      <c r="BU141" s="41"/>
      <c r="BV141" s="41"/>
      <c r="BW141" s="41"/>
      <c r="BX141" s="41"/>
      <c r="BY141" s="41"/>
      <c r="BZ141" s="41"/>
      <c r="CA141" s="41"/>
      <c r="CB141" s="41"/>
      <c r="CC141" s="41"/>
      <c r="CD141" s="41"/>
      <c r="CE141" s="41"/>
      <c r="CF141" s="41"/>
      <c r="CG141" s="41"/>
      <c r="CH141" s="41"/>
      <c r="CI141" s="41"/>
      <c r="CJ141" s="41"/>
      <c r="CK141" s="41"/>
      <c r="CL141" s="41"/>
      <c r="CM141" s="41"/>
      <c r="CN141" s="41"/>
      <c r="CO141" s="41"/>
      <c r="CP141" s="41"/>
      <c r="CQ141" s="41"/>
      <c r="CR141" s="41"/>
      <c r="CS141" s="41"/>
      <c r="CT141" s="41"/>
      <c r="CU141" s="41"/>
      <c r="CV141" s="41"/>
      <c r="CW141" s="41"/>
      <c r="CX141" s="41"/>
      <c r="CY141" s="41"/>
      <c r="CZ141" s="41"/>
      <c r="DA141" s="41"/>
      <c r="DB141" s="41"/>
      <c r="DC141" s="41"/>
      <c r="DD141" s="41"/>
      <c r="DE141" s="41"/>
      <c r="DF141" s="41"/>
      <c r="DG141" s="41"/>
      <c r="DH141" s="41"/>
      <c r="DI141" s="41"/>
      <c r="DJ141" s="41"/>
      <c r="DK141" s="41"/>
      <c r="DL141" s="41"/>
      <c r="DM141" s="41"/>
      <c r="DN141" s="41"/>
      <c r="DO141" s="41"/>
      <c r="DP141" s="41"/>
      <c r="DQ141" s="41"/>
      <c r="DR141" s="41"/>
      <c r="DS141" s="41"/>
      <c r="DT141" s="41"/>
      <c r="DU141" s="41"/>
      <c r="DV141" s="41"/>
      <c r="DW141" s="41"/>
      <c r="DX141" s="41"/>
      <c r="DY141" s="41"/>
      <c r="DZ141" s="41"/>
      <c r="EA141" s="41"/>
      <c r="EB141" s="41"/>
      <c r="EC141" s="41"/>
      <c r="ED141" s="41"/>
      <c r="EE141" s="41"/>
      <c r="EF141" s="41"/>
      <c r="EG141" s="41"/>
      <c r="EH141" s="41"/>
      <c r="EI141" s="41"/>
      <c r="EJ141" s="41"/>
      <c r="EK141" s="41"/>
      <c r="EL141" s="41"/>
      <c r="EM141" s="41"/>
      <c r="EN141" s="41"/>
      <c r="EO141" s="41"/>
      <c r="EP141" s="41"/>
      <c r="EQ141" s="41"/>
      <c r="ER141" s="41"/>
      <c r="ES141" s="41"/>
      <c r="ET141" s="41"/>
      <c r="EU141" s="41"/>
      <c r="EV141" s="41"/>
      <c r="EW141" s="41"/>
      <c r="EX141" s="41"/>
      <c r="EY141" s="41"/>
      <c r="EZ141" s="41"/>
      <c r="FA141" s="41"/>
      <c r="FB141" s="41"/>
      <c r="FC141" s="41"/>
      <c r="FD141" s="41"/>
      <c r="FE141" s="41"/>
      <c r="FF141" s="41"/>
      <c r="FG141" s="41"/>
      <c r="FH141" s="41"/>
      <c r="FI141" s="41"/>
      <c r="FJ141" s="41"/>
      <c r="FK141" s="41"/>
      <c r="FL141" s="41"/>
      <c r="FM141" s="41"/>
      <c r="FN141" s="41"/>
      <c r="FO141" s="41"/>
      <c r="FP141" s="41"/>
      <c r="FQ141" s="41"/>
      <c r="FR141" s="41"/>
      <c r="FS141" s="41"/>
      <c r="FT141" s="41"/>
      <c r="FU141" s="41"/>
      <c r="FV141" s="41"/>
      <c r="FW141" s="41"/>
      <c r="FX141" s="41"/>
      <c r="FY141" s="41"/>
      <c r="FZ141" s="41"/>
      <c r="GA141" s="41"/>
      <c r="GB141" s="41"/>
      <c r="GC141" s="41"/>
      <c r="GD141" s="41"/>
      <c r="GE141" s="41"/>
      <c r="GF141" s="41"/>
      <c r="GG141" s="41"/>
      <c r="GH141" s="41"/>
      <c r="GI141" s="41"/>
      <c r="GJ141" s="41"/>
      <c r="GK141" s="41"/>
      <c r="GL141" s="41"/>
      <c r="GM141" s="41"/>
      <c r="GN141" s="41"/>
      <c r="GO141" s="41"/>
    </row>
    <row r="142" spans="1:197" x14ac:dyDescent="0.55000000000000004">
      <c r="H142" s="23"/>
      <c r="J142" s="19"/>
      <c r="L142" s="23"/>
      <c r="M142" s="23"/>
      <c r="N142" s="23"/>
      <c r="O142" s="23"/>
      <c r="Q142" s="23"/>
      <c r="R142" s="23"/>
      <c r="S142" s="23"/>
      <c r="T142" s="23"/>
    </row>
    <row r="143" spans="1:197" s="93" customFormat="1" x14ac:dyDescent="0.55000000000000004">
      <c r="A143" s="37" t="s">
        <v>63</v>
      </c>
      <c r="B143" s="47" t="s">
        <v>204</v>
      </c>
      <c r="C143" s="135" t="s">
        <v>65</v>
      </c>
      <c r="D143" s="158" t="s">
        <v>206</v>
      </c>
      <c r="E143" t="s">
        <v>378</v>
      </c>
      <c r="F143" s="158" t="s">
        <v>362</v>
      </c>
      <c r="G143" s="37"/>
      <c r="H143" s="32">
        <v>5400</v>
      </c>
      <c r="I143" s="33"/>
      <c r="J143" s="94">
        <f t="shared" ref="J143:J153" si="261">AV143</f>
        <v>580.8912888843372</v>
      </c>
      <c r="K143" s="35"/>
      <c r="L143" s="23">
        <v>2.5609999999999999</v>
      </c>
      <c r="M143" s="23">
        <v>1.867</v>
      </c>
      <c r="N143" s="23">
        <v>3.274</v>
      </c>
      <c r="O143" s="23">
        <v>0.42499999999999999</v>
      </c>
      <c r="P143" s="33"/>
      <c r="Q143" s="23">
        <v>2.4430000000000001</v>
      </c>
      <c r="R143" s="23">
        <v>0.25800000000000001</v>
      </c>
      <c r="S143" s="23">
        <v>0.122</v>
      </c>
      <c r="T143" s="23">
        <v>0.185</v>
      </c>
      <c r="U143" s="33"/>
      <c r="V143" s="48">
        <f t="shared" ref="V143:V153" si="262">Q143*0.97/(Q143*0.97+R143+S143+T143)</f>
        <v>0.8074767183128827</v>
      </c>
      <c r="W143" s="33">
        <f t="shared" ref="W143:W153" si="263">R143/(Q143*0.97+R143+S143+T143)</f>
        <v>8.7913286150931441E-2</v>
      </c>
      <c r="X143" s="48">
        <f t="shared" ref="X143:X153" si="264">S143/(Q143*0.97+R143+S143+T143)</f>
        <v>4.1571398877572233E-2</v>
      </c>
      <c r="Y143" s="48">
        <f t="shared" ref="Y143:Y153" si="265">T143/(Q143*0.97+R143+S143+T143)</f>
        <v>6.3038596658613624E-2</v>
      </c>
      <c r="Z143" s="48"/>
      <c r="AA143" s="48">
        <f t="shared" ref="AA143:AA153" si="266">5.993*W143*W143-9.67*X143*X143-11.006*V143*W143+0.674*V143*X143-9.5725*W143*X143-22.765*W143*Y143-4.6665*X143*Y143+11.006*V143*V143*W143-0.674*V143*V143*X143-11.986*W143*W143*V143+37.966*W143*W143*X143+46.02*W143*W143*Y143+19.34*X143*X143*V143+25.746*X143*X143*W143+46.02*Y143*Y143*W143+19.145*V143*W143*X143+45.53*V143*W143*Y143+9.333*V143*X143*Y143+77.876*W143*X143*Y143</f>
        <v>1.4899790045777132E-2</v>
      </c>
      <c r="AB143" s="48">
        <f t="shared" ref="AB143:AB153" si="267">-0.034*W143*W143+0.135*X143*X143+0.024*Y143*Y143+0.1*V143*W143+0.08*V143*X143+0.048*V143*Y143-0.0515*W143*X143+0.07*W143*Y143+0.1765*X143*Y143-0.1*V143*V143*W143-0.08*V143*V143*X143-0.048*V143*V143*Y143+0.068*W143*W143*V143-0.136*W143*W143*X143-0.076*W143*W143*Y143-0.27*X143*X143*V143-0.28*X143*X143*W143-0.13*X143*X143*Y143-0.048*Y143*Y143*V143-0.076*Y143*Y143*W143-0.13*Y143*Y143*X143+0.103*V143*W143*X143-0.14*V143*W143*Y143-0.353*V143*X143*Y143-0.414*W143*X143*Y143</f>
        <v>1.6254697267773519E-3</v>
      </c>
      <c r="AC143" s="48">
        <f t="shared" ref="AC143:AC153" si="268">-5672*W143*W143+19932*X143*X143+1617*Y143*Y143+23244*V143*W143-2608*V143*X143+3234*V143*Y143+31326.5*W143*X143+45841*W143*Y143+12356*X143*Y143-23244*V143*V143*W143+2608*V143*V143*X143-3234*V143*V143*Y143+11344*W143*W143*V143-132228*W143*W143*X143-82498*W143*W143*Y143-39864*X143*X143*V143-51518*X143*X143*W143-2850*X143*X143*Y143-3234*Y143*Y143*V143-82498*Y143*Y143*W143-2850*Y143*Y143*X143-62653*V143*W143*X143-91682*V143*W143*Y143-24712*V143*X143*Y143-177221*W143*X143*Y143</f>
        <v>-73.147689077168323</v>
      </c>
      <c r="AD143" s="48"/>
      <c r="AE143" s="48">
        <f t="shared" ref="AE143:AE153" si="269">-5.503*V143*V143-12.873*X143*X143-23.01*Y143*Y143+11.986*V143*W143-9.5725*V143*X143-22.765*V143*Y143-37.966*W143*X143-46.02*W143*Y143-38.938*X143*Y143+11.006*V143*V143*W143-0.674*V143*V143*X143-11.986*W143*W143*V143+37.966*W143*W143*X143+46.02*W143*W143*Y143+19.34*X143*X143*V143+25.746*X143*X143*W143+46.02*Y143*Y143*W143+19.145*V143*W143*X143+45.53*V143*W143*Y143+9.333*V143*X143*Y143+77.876*W143*X143*Y143</f>
        <v>-3.9094977865179947</v>
      </c>
      <c r="AF143" s="48">
        <f t="shared" ref="AF143:AF153" si="270">0.05*V143*V143+0.14*X143*X143+0.038*Y143*Y143-0.068*V143*W143-0.0515*V143*X143+0.07*V143*Y143+0.136*W143*X143+0.076*W143*Y143+0.207*X143*Y143-0.1*V143*V143*W143-0.08*V143*V143*X143-0.048*V143*V143*Y143+0.068*W143*W143*V143-0.136*W143*W143*X143-0.076*W143*W143*Y143-0.27*X143*X143*V143-0.28*X143*X143*W143-0.13*X143*X143*Y143-0.048*Y143*Y143*V143-0.076*Y143*Y143*W143-0.13*Y143*Y143*X143+0.103*V143*W143*X143-0.14*V143*W143*Y143-0.353*V143*X143*Y143-0.414*W143*X143*Y143</f>
        <v>2.0131578927352938E-2</v>
      </c>
      <c r="AG143" s="48">
        <f t="shared" ref="AG143:AG153" si="271">11622*V143*V143+25759*X143*X143+41249*Y143*Y143-11344*V143*W143+31326.5*V143*X143+45841*V143*Y143+132228*W143*X143+82498*W143*Y143+88610.5*X143*Y143-23244*V143*V143*W143+2608*V143*V143*X143-3234*V143*V143*Y143+11344*W143*W143*V143-132228*W143*W143*X143-82498*W143*W143*Y143-39864*X143*X143*V143-51518*X143*X143*W143-2850*X143*X143*Y143-3234*Y143*Y143*V143-82498*Y143*Y143*W143-2850*Y143*Y143*X143-62653*V143*W143*X143-91682*V143*W143*Y143-24712*V143*X143*Y143-177221*W143*X143*Y143</f>
        <v>9340.3291956382454</v>
      </c>
      <c r="AH143" s="33"/>
      <c r="AI143" s="48">
        <f t="shared" ref="AI143:AI153" si="272">0.337*V143*V143-18.983*W143*W143-9.5725*V143*W143-19.34*V143*X143-4.6665*V143*Y143-25.746*W143*X143-38.938*W143*Y143+11.006*V143*V143*W143-0.674*V143*V143*X143-11.986*W143*W143*V143+37.966*W143*W143*X143+46.02*W143*W143*Y143+19.34*X143*X143*V143+25.746*X143*X143*W143+46.02*Y143*Y143*W143+19.145*V143*W143*X143+45.53*V143*W143*Y143+9.333*V143*X143*Y143+77.876*W143*X143*Y143</f>
        <v>-0.88580370157278621</v>
      </c>
      <c r="AJ143" s="48">
        <f t="shared" ref="AJ143:AJ153" si="273">0.04*V143*V143+0.068*W143*W143+0.065*Y143*Y143-0.0515*V143*W143+0.27*V143*X143+0.1765*V143*Y143+0.28*W143*X143+0.207*W143*Y143+0.13*X143*Y143-0.1*V143*V143*W143-0.08*V143*V143*X143-0.048*V143*V143*Y143+0.068*W143*W143*V143-0.136*W143*W143*X143-0.076*W143*W143*Y143-0.27*X143*X143*V143-0.28*X143*X143*W143-0.13*X143*X143*Y143-0.048*Y143*Y143*V143-0.076*Y143*Y143*W143-0.13*Y143*Y143*X143+0.103*V143*W143*X143-0.14*V143*W143*Y143-0.353*V143*X143*Y143-0.414*W143*X143*Y143</f>
        <v>3.2437252989505824E-2</v>
      </c>
      <c r="AK143" s="48">
        <f t="shared" ref="AK143:AK153" si="274">-1304*V143*V143+66114*W143*W143+1425*Y143*Y143+31326.5*V143*W143+39864*V143*X143+12356*V143*Y143+51518*W143*X143+88610.5*W143*Y143+2850*X143*Y143-23244*V143*V143*W143+2608*V143*V143*X143-3234*V143*V143*Y143+11344*W143*W143*V143-132228*W143*W143*X143-82498*W143*W143*Y143-39864*X143*X143*V143-51518*X143*X143*W143-2850*X143*X143*Y143-3234*Y143*Y143*V143-82498*Y143*Y143*W143-2850*Y143*Y143*X143-62653*V143*W143*X143-91682*V143*W143*Y143-24712*V143*X143*Y143-177221*W143*X143*Y143</f>
        <v>2345.9214522999441</v>
      </c>
      <c r="AL143" s="33"/>
      <c r="AM143" s="33"/>
      <c r="AN143" s="48">
        <f t="shared" ref="AN143:AN153" si="275">L143*0.884/(L143*0.884+M143+N143+O143)</f>
        <v>0.28913741691490236</v>
      </c>
      <c r="AO143" s="48">
        <f t="shared" ref="AO143:AO153" si="276">M143/(L143*0.884+M143+N143+O143)</f>
        <v>0.23844420456699197</v>
      </c>
      <c r="AP143" s="48">
        <f t="shared" ref="AP143:AP153" si="277">N143/(L143*0.884+M143+N143+O143)</f>
        <v>0.41813943532529818</v>
      </c>
      <c r="AQ143" s="48">
        <f t="shared" ref="AQ143:AQ153" si="278">O143/(L143*0.884+M143+N143+O143)</f>
        <v>5.4278943192807488E-2</v>
      </c>
      <c r="AR143" s="33"/>
      <c r="AS143" s="48"/>
      <c r="AT143" s="33">
        <f t="shared" ref="AT143:AT153" si="279">40198+(0.295-(AB143-AF143))*H143-(AC143-AG143)+22998*(AO143-AN143)+245559*AP143+310990*AQ143</f>
        <v>169696.67751939737</v>
      </c>
      <c r="AU143" s="33">
        <f t="shared" ref="AU143:AU153" si="280">7.802+3*8.3144*LN((V143/W143)/(AN143/AO143))+(AA143-AE143)+17.396*(AO143-AN143)+280.396*AP143+370.39*AQ143</f>
        <v>198.69844670048428</v>
      </c>
      <c r="AV143" s="35">
        <f t="shared" ref="AV143:AV153" si="281">AT143/AU143-273.15</f>
        <v>580.8912888843372</v>
      </c>
      <c r="AW143" s="33"/>
      <c r="AX143" s="35"/>
      <c r="AY143" s="33"/>
      <c r="AZ143" s="33"/>
      <c r="BA143" s="33"/>
      <c r="BB143" s="34"/>
      <c r="BC143" s="35"/>
      <c r="BD143" s="33"/>
      <c r="BE143" s="36"/>
      <c r="BF143" s="33"/>
      <c r="BG143" s="33"/>
      <c r="BH143" s="33"/>
      <c r="BI143" s="38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  <c r="CT143" s="33"/>
      <c r="CU143" s="33"/>
      <c r="CV143" s="33"/>
      <c r="CW143" s="33"/>
      <c r="CX143" s="33"/>
      <c r="CY143" s="33"/>
      <c r="CZ143" s="33"/>
      <c r="DA143" s="33"/>
      <c r="DB143" s="33"/>
      <c r="DC143" s="33"/>
      <c r="DD143" s="33"/>
      <c r="DE143" s="33"/>
      <c r="DF143" s="33"/>
      <c r="DG143" s="33"/>
      <c r="DH143" s="33"/>
      <c r="DI143" s="33"/>
      <c r="DJ143" s="33"/>
      <c r="DK143" s="33"/>
      <c r="DL143" s="33"/>
      <c r="DM143" s="33"/>
      <c r="DN143" s="33"/>
      <c r="DO143" s="33"/>
      <c r="DP143" s="33"/>
      <c r="DQ143" s="33"/>
      <c r="DR143" s="33"/>
      <c r="DS143" s="33"/>
      <c r="DT143" s="33"/>
      <c r="DU143" s="33"/>
      <c r="DV143" s="33"/>
      <c r="DW143" s="33"/>
      <c r="DX143" s="33"/>
      <c r="DY143" s="33"/>
      <c r="DZ143" s="33"/>
      <c r="EA143" s="33"/>
      <c r="EB143" s="33"/>
      <c r="EC143" s="33"/>
      <c r="ED143" s="33"/>
      <c r="EE143" s="33"/>
      <c r="EF143" s="33"/>
      <c r="EG143" s="33"/>
      <c r="EH143" s="33"/>
      <c r="EI143" s="33"/>
      <c r="EJ143" s="33"/>
      <c r="EK143" s="33"/>
      <c r="EL143" s="33"/>
      <c r="EM143" s="33"/>
      <c r="EN143" s="33"/>
      <c r="EO143" s="33"/>
      <c r="EP143" s="33"/>
      <c r="EQ143" s="33"/>
      <c r="ER143" s="33"/>
      <c r="ES143" s="33"/>
      <c r="ET143" s="33"/>
      <c r="EU143" s="33"/>
      <c r="EV143" s="33"/>
      <c r="EW143" s="33"/>
      <c r="EX143" s="33"/>
      <c r="EY143" s="33"/>
      <c r="EZ143" s="33"/>
      <c r="FA143" s="33"/>
      <c r="FB143" s="33"/>
      <c r="FC143" s="33"/>
      <c r="FD143" s="33"/>
      <c r="FE143" s="33"/>
      <c r="FF143" s="33"/>
      <c r="FG143" s="33"/>
      <c r="FH143" s="33"/>
      <c r="FI143" s="33"/>
      <c r="FJ143" s="33"/>
      <c r="FK143" s="33"/>
      <c r="FL143" s="33"/>
      <c r="FM143" s="33"/>
      <c r="FN143" s="33"/>
      <c r="FO143" s="33"/>
      <c r="FP143" s="33"/>
      <c r="FQ143" s="33"/>
      <c r="FR143" s="33"/>
      <c r="FS143" s="33"/>
      <c r="FT143" s="33"/>
      <c r="FU143" s="33"/>
      <c r="FV143" s="33"/>
      <c r="FW143" s="33"/>
      <c r="FX143" s="33"/>
      <c r="FY143" s="33"/>
      <c r="FZ143" s="33"/>
      <c r="GA143" s="33"/>
      <c r="GB143" s="33"/>
      <c r="GC143" s="33"/>
      <c r="GD143" s="33"/>
      <c r="GE143" s="33"/>
      <c r="GF143" s="33"/>
      <c r="GG143" s="33"/>
      <c r="GH143" s="33"/>
      <c r="GI143" s="33"/>
      <c r="GJ143" s="33"/>
      <c r="GK143" s="33"/>
      <c r="GL143" s="33"/>
      <c r="GM143" s="33"/>
      <c r="GN143" s="33"/>
      <c r="GO143" s="33"/>
    </row>
    <row r="144" spans="1:197" x14ac:dyDescent="0.55000000000000004">
      <c r="C144" s="135" t="s">
        <v>66</v>
      </c>
      <c r="D144" s="158" t="s">
        <v>230</v>
      </c>
      <c r="E144" t="s">
        <v>380</v>
      </c>
      <c r="F144" s="158" t="s">
        <v>239</v>
      </c>
      <c r="H144" s="32">
        <v>5400</v>
      </c>
      <c r="I144" s="33"/>
      <c r="J144" s="94">
        <f t="shared" si="261"/>
        <v>596.02863106185544</v>
      </c>
      <c r="K144" s="35"/>
      <c r="L144" s="23">
        <v>2.536</v>
      </c>
      <c r="M144" s="23">
        <v>1.839</v>
      </c>
      <c r="N144" s="23">
        <v>3.444</v>
      </c>
      <c r="O144" s="23">
        <v>0.39900000000000002</v>
      </c>
      <c r="P144" s="33"/>
      <c r="Q144" s="23">
        <v>2.4369999999999998</v>
      </c>
      <c r="R144" s="23">
        <v>0.29799999999999999</v>
      </c>
      <c r="S144" s="23">
        <v>0.12</v>
      </c>
      <c r="T144" s="23">
        <v>0.16800000000000001</v>
      </c>
      <c r="U144" s="33"/>
      <c r="V144" s="48">
        <f t="shared" si="262"/>
        <v>0.80134852486024888</v>
      </c>
      <c r="W144" s="33">
        <f t="shared" si="263"/>
        <v>0.10102071602669931</v>
      </c>
      <c r="X144" s="48">
        <f t="shared" si="264"/>
        <v>4.0679482963771531E-2</v>
      </c>
      <c r="Y144" s="48">
        <f t="shared" si="265"/>
        <v>5.6951276149280146E-2</v>
      </c>
      <c r="Z144" s="48"/>
      <c r="AA144" s="48">
        <f t="shared" si="266"/>
        <v>-1.056506921147507E-2</v>
      </c>
      <c r="AB144" s="48">
        <f t="shared" si="267"/>
        <v>1.9286769339364217E-3</v>
      </c>
      <c r="AC144" s="48">
        <f t="shared" si="268"/>
        <v>-36.326191770855893</v>
      </c>
      <c r="AD144" s="48"/>
      <c r="AE144" s="48">
        <f t="shared" si="269"/>
        <v>-3.527031226418377</v>
      </c>
      <c r="AF144" s="48">
        <f t="shared" si="270"/>
        <v>1.843028063702563E-2</v>
      </c>
      <c r="AG144" s="48">
        <f t="shared" si="271"/>
        <v>8675.8402669893549</v>
      </c>
      <c r="AH144" s="33"/>
      <c r="AI144" s="48">
        <f t="shared" si="272"/>
        <v>-0.93108909107233673</v>
      </c>
      <c r="AJ144" s="48">
        <f t="shared" si="273"/>
        <v>3.0402136710422009E-2</v>
      </c>
      <c r="AK144" s="48">
        <f t="shared" si="274"/>
        <v>2587.4283532660756</v>
      </c>
      <c r="AL144" s="33"/>
      <c r="AM144" s="33"/>
      <c r="AN144" s="48">
        <f t="shared" si="275"/>
        <v>0.28292198312330008</v>
      </c>
      <c r="AO144" s="48">
        <f t="shared" si="276"/>
        <v>0.23208491253717903</v>
      </c>
      <c r="AP144" s="48">
        <f t="shared" si="277"/>
        <v>0.43463862902558159</v>
      </c>
      <c r="AQ144" s="48">
        <f t="shared" si="278"/>
        <v>5.0354475313939336E-2</v>
      </c>
      <c r="AR144" s="33"/>
      <c r="AS144" s="48"/>
      <c r="AT144" s="33">
        <f t="shared" si="279"/>
        <v>171812.28955219206</v>
      </c>
      <c r="AU144" s="33">
        <f t="shared" si="280"/>
        <v>197.67201287759798</v>
      </c>
      <c r="AV144" s="35">
        <f t="shared" si="281"/>
        <v>596.02863106185544</v>
      </c>
      <c r="AW144" s="33"/>
      <c r="AX144" s="35"/>
      <c r="AY144" s="33"/>
      <c r="AZ144" s="33"/>
      <c r="BA144" s="33"/>
      <c r="BB144" s="34"/>
      <c r="BC144" s="35"/>
      <c r="BD144" s="33"/>
      <c r="BE144" s="36"/>
      <c r="BG144" s="33"/>
      <c r="BH144" s="33"/>
      <c r="BI144" s="38"/>
    </row>
    <row r="145" spans="2:61" x14ac:dyDescent="0.55000000000000004">
      <c r="C145" s="135" t="s">
        <v>67</v>
      </c>
      <c r="D145" s="158" t="s">
        <v>231</v>
      </c>
      <c r="E145" t="s">
        <v>381</v>
      </c>
      <c r="F145" s="158" t="s">
        <v>240</v>
      </c>
      <c r="H145" s="32">
        <v>5400</v>
      </c>
      <c r="I145" s="33"/>
      <c r="J145" s="94">
        <f t="shared" si="261"/>
        <v>600.83783211436401</v>
      </c>
      <c r="K145" s="35"/>
      <c r="L145" s="23">
        <v>2.5510000000000002</v>
      </c>
      <c r="M145" s="23">
        <v>1.843</v>
      </c>
      <c r="N145" s="23">
        <v>3.3980000000000001</v>
      </c>
      <c r="O145" s="23">
        <v>0.39100000000000001</v>
      </c>
      <c r="P145" s="33"/>
      <c r="Q145" s="23">
        <v>2.3969999999999998</v>
      </c>
      <c r="R145" s="23">
        <v>0.30599999999999999</v>
      </c>
      <c r="S145" s="23">
        <v>0.12</v>
      </c>
      <c r="T145" s="23">
        <v>0.16700000000000001</v>
      </c>
      <c r="U145" s="33"/>
      <c r="V145" s="48">
        <f t="shared" si="262"/>
        <v>0.79678488326268204</v>
      </c>
      <c r="W145" s="33">
        <f t="shared" si="263"/>
        <v>0.10486311251537821</v>
      </c>
      <c r="X145" s="48">
        <f t="shared" si="264"/>
        <v>4.1122789221716943E-2</v>
      </c>
      <c r="Y145" s="48">
        <f t="shared" si="265"/>
        <v>5.7229215000222752E-2</v>
      </c>
      <c r="Z145" s="48"/>
      <c r="AA145" s="48">
        <f t="shared" si="266"/>
        <v>-1.3964630668288597E-2</v>
      </c>
      <c r="AB145" s="48">
        <f t="shared" si="267"/>
        <v>2.0337303558555183E-3</v>
      </c>
      <c r="AC145" s="48">
        <f t="shared" si="268"/>
        <v>-33.172094576074407</v>
      </c>
      <c r="AD145" s="48"/>
      <c r="AE145" s="48">
        <f t="shared" si="269"/>
        <v>-3.4497148355225069</v>
      </c>
      <c r="AF145" s="48">
        <f t="shared" si="270"/>
        <v>1.7779048812025914E-2</v>
      </c>
      <c r="AG145" s="48">
        <f t="shared" si="271"/>
        <v>8546.6373723904799</v>
      </c>
      <c r="AH145" s="33"/>
      <c r="AI145" s="48">
        <f t="shared" si="272"/>
        <v>-0.96291976597196893</v>
      </c>
      <c r="AJ145" s="48">
        <f t="shared" si="273"/>
        <v>3.0024963721359561E-2</v>
      </c>
      <c r="AK145" s="48">
        <f t="shared" si="274"/>
        <v>2698.2901554499463</v>
      </c>
      <c r="AL145" s="33"/>
      <c r="AM145" s="33"/>
      <c r="AN145" s="48">
        <f t="shared" si="275"/>
        <v>0.28592113384363604</v>
      </c>
      <c r="AO145" s="48">
        <f t="shared" si="276"/>
        <v>0.23367318010052893</v>
      </c>
      <c r="AP145" s="48">
        <f t="shared" si="277"/>
        <v>0.43083096363624379</v>
      </c>
      <c r="AQ145" s="48">
        <f t="shared" si="278"/>
        <v>4.9574722419591322E-2</v>
      </c>
      <c r="AR145" s="33"/>
      <c r="AS145" s="48"/>
      <c r="AT145" s="33">
        <f t="shared" si="279"/>
        <v>170465.899271267</v>
      </c>
      <c r="AU145" s="33">
        <f t="shared" si="280"/>
        <v>195.04379009359138</v>
      </c>
      <c r="AV145" s="35">
        <f t="shared" si="281"/>
        <v>600.83783211436401</v>
      </c>
      <c r="AW145" s="33"/>
      <c r="AX145" s="35"/>
      <c r="AY145" s="33"/>
      <c r="AZ145" s="33"/>
      <c r="BA145" s="33"/>
      <c r="BB145" s="34"/>
      <c r="BC145" s="35"/>
      <c r="BD145" s="33"/>
      <c r="BE145" s="36"/>
      <c r="BG145" s="33"/>
      <c r="BH145" s="33"/>
      <c r="BI145" s="38"/>
    </row>
    <row r="146" spans="2:61" x14ac:dyDescent="0.55000000000000004">
      <c r="C146" s="135" t="s">
        <v>58</v>
      </c>
      <c r="D146" s="158" t="s">
        <v>287</v>
      </c>
      <c r="E146" t="s">
        <v>382</v>
      </c>
      <c r="F146" s="158" t="s">
        <v>241</v>
      </c>
      <c r="H146" s="32">
        <v>5400</v>
      </c>
      <c r="I146" s="33"/>
      <c r="J146" s="94">
        <f t="shared" si="261"/>
        <v>603.1786855919014</v>
      </c>
      <c r="K146" s="35"/>
      <c r="L146" s="23">
        <v>2.5493333333333332</v>
      </c>
      <c r="M146" s="23">
        <v>1.8496666666666666</v>
      </c>
      <c r="N146" s="23">
        <v>3.3719999999999999</v>
      </c>
      <c r="O146" s="23">
        <v>0.40500000000000003</v>
      </c>
      <c r="P146" s="33"/>
      <c r="Q146" s="23">
        <v>2.403</v>
      </c>
      <c r="R146" s="23">
        <v>0.316</v>
      </c>
      <c r="S146" s="23">
        <v>0.12</v>
      </c>
      <c r="T146" s="23">
        <v>0.16300000000000001</v>
      </c>
      <c r="U146" s="33"/>
      <c r="V146" s="48">
        <f t="shared" si="262"/>
        <v>0.79555686010833104</v>
      </c>
      <c r="W146" s="33">
        <f t="shared" si="263"/>
        <v>0.1078531422466902</v>
      </c>
      <c r="X146" s="48">
        <f t="shared" si="264"/>
        <v>4.0956889460768427E-2</v>
      </c>
      <c r="Y146" s="48">
        <f t="shared" si="265"/>
        <v>5.5633108184210446E-2</v>
      </c>
      <c r="Z146" s="48"/>
      <c r="AA146" s="48">
        <f t="shared" si="266"/>
        <v>-2.1145081700631247E-2</v>
      </c>
      <c r="AB146" s="48">
        <f t="shared" si="267"/>
        <v>2.1055671131023014E-3</v>
      </c>
      <c r="AC146" s="48">
        <f t="shared" si="268"/>
        <v>-22.540053349951471</v>
      </c>
      <c r="AD146" s="48"/>
      <c r="AE146" s="48">
        <f t="shared" si="269"/>
        <v>-3.3620433799062597</v>
      </c>
      <c r="AF146" s="48">
        <f t="shared" si="270"/>
        <v>1.7406079891527815E-2</v>
      </c>
      <c r="AG146" s="48">
        <f t="shared" si="271"/>
        <v>8394.6762978635015</v>
      </c>
      <c r="AH146" s="33"/>
      <c r="AI146" s="48">
        <f t="shared" si="272"/>
        <v>-0.97567734413802731</v>
      </c>
      <c r="AJ146" s="48">
        <f t="shared" si="273"/>
        <v>2.9568339636111326E-2</v>
      </c>
      <c r="AK146" s="48">
        <f t="shared" si="274"/>
        <v>2758.4359193835353</v>
      </c>
      <c r="AL146" s="33"/>
      <c r="AM146" s="33"/>
      <c r="AN146" s="48">
        <f t="shared" si="275"/>
        <v>0.2859811363660974</v>
      </c>
      <c r="AO146" s="48">
        <f t="shared" si="276"/>
        <v>0.23472101151093158</v>
      </c>
      <c r="AP146" s="48">
        <f t="shared" si="277"/>
        <v>0.42790372183178665</v>
      </c>
      <c r="AQ146" s="48">
        <f t="shared" si="278"/>
        <v>5.1394130291184344E-2</v>
      </c>
      <c r="AR146" s="33"/>
      <c r="AS146" s="48"/>
      <c r="AT146" s="33">
        <f t="shared" si="279"/>
        <v>170170.62937734497</v>
      </c>
      <c r="AU146" s="33">
        <f t="shared" si="280"/>
        <v>194.18584850090363</v>
      </c>
      <c r="AV146" s="35">
        <f t="shared" si="281"/>
        <v>603.1786855919014</v>
      </c>
      <c r="AW146" s="33"/>
      <c r="AX146" s="35"/>
      <c r="AY146" s="33"/>
      <c r="AZ146" s="33"/>
      <c r="BA146" s="33"/>
      <c r="BB146" s="34"/>
      <c r="BC146" s="35"/>
      <c r="BD146" s="33"/>
      <c r="BE146" s="36"/>
      <c r="BG146" s="33"/>
      <c r="BH146" s="33"/>
      <c r="BI146" s="38"/>
    </row>
    <row r="147" spans="2:61" x14ac:dyDescent="0.55000000000000004">
      <c r="C147" s="135" t="s">
        <v>58</v>
      </c>
      <c r="D147" s="158" t="s">
        <v>287</v>
      </c>
      <c r="E147" t="s">
        <v>383</v>
      </c>
      <c r="F147" s="158" t="s">
        <v>242</v>
      </c>
      <c r="H147" s="32">
        <v>5400</v>
      </c>
      <c r="I147" s="33"/>
      <c r="J147" s="94">
        <f t="shared" si="261"/>
        <v>602.08502780702338</v>
      </c>
      <c r="K147" s="35"/>
      <c r="L147" s="23">
        <v>2.5493333333333332</v>
      </c>
      <c r="M147" s="23">
        <v>1.8496666666666666</v>
      </c>
      <c r="N147" s="23">
        <v>3.3719999999999999</v>
      </c>
      <c r="O147" s="23">
        <v>0.40500000000000003</v>
      </c>
      <c r="P147" s="33"/>
      <c r="Q147" s="23">
        <v>2.3980000000000001</v>
      </c>
      <c r="R147" s="23">
        <v>0.311</v>
      </c>
      <c r="S147" s="23">
        <v>0.129</v>
      </c>
      <c r="T147" s="23">
        <v>0.16300000000000001</v>
      </c>
      <c r="U147" s="33"/>
      <c r="V147" s="48">
        <f t="shared" si="262"/>
        <v>0.79413190579913018</v>
      </c>
      <c r="W147" s="33">
        <f t="shared" si="263"/>
        <v>0.10617740845185829</v>
      </c>
      <c r="X147" s="48">
        <f t="shared" si="264"/>
        <v>4.4041433087748293E-2</v>
      </c>
      <c r="Y147" s="48">
        <f t="shared" si="265"/>
        <v>5.5649252661263346E-2</v>
      </c>
      <c r="Z147" s="48"/>
      <c r="AA147" s="48">
        <f t="shared" si="266"/>
        <v>-1.4296202536265557E-2</v>
      </c>
      <c r="AB147" s="48">
        <f t="shared" si="267"/>
        <v>2.0828227133202221E-3</v>
      </c>
      <c r="AC147" s="48">
        <f t="shared" si="268"/>
        <v>-39.231202356615611</v>
      </c>
      <c r="AD147" s="48"/>
      <c r="AE147" s="48">
        <f t="shared" si="269"/>
        <v>-3.4097068830413888</v>
      </c>
      <c r="AF147" s="48">
        <f t="shared" si="270"/>
        <v>1.7245945848049789E-2</v>
      </c>
      <c r="AG147" s="48">
        <f t="shared" si="271"/>
        <v>8516.7849914715498</v>
      </c>
      <c r="AH147" s="33"/>
      <c r="AI147" s="48">
        <f t="shared" si="272"/>
        <v>-1.0096762839687254</v>
      </c>
      <c r="AJ147" s="48">
        <f t="shared" si="273"/>
        <v>3.01190257129841E-2</v>
      </c>
      <c r="AK147" s="48">
        <f t="shared" si="274"/>
        <v>2802.3547300176897</v>
      </c>
      <c r="AL147" s="33"/>
      <c r="AM147" s="33"/>
      <c r="AN147" s="48">
        <f t="shared" si="275"/>
        <v>0.2859811363660974</v>
      </c>
      <c r="AO147" s="48">
        <f t="shared" si="276"/>
        <v>0.23472101151093158</v>
      </c>
      <c r="AP147" s="48">
        <f t="shared" si="277"/>
        <v>0.42790372183178665</v>
      </c>
      <c r="AQ147" s="48">
        <f t="shared" si="278"/>
        <v>5.1394130291184344E-2</v>
      </c>
      <c r="AR147" s="33"/>
      <c r="AS147" s="48"/>
      <c r="AT147" s="33">
        <f t="shared" si="279"/>
        <v>170308.68731588373</v>
      </c>
      <c r="AU147" s="33">
        <f t="shared" si="280"/>
        <v>194.58623330307836</v>
      </c>
      <c r="AV147" s="35">
        <f t="shared" si="281"/>
        <v>602.08502780702338</v>
      </c>
      <c r="AW147" s="33"/>
      <c r="AX147" s="35"/>
      <c r="AY147" s="33"/>
      <c r="AZ147" s="33"/>
      <c r="BA147" s="33"/>
      <c r="BB147" s="34"/>
      <c r="BC147" s="35"/>
      <c r="BD147" s="33"/>
      <c r="BE147" s="36"/>
      <c r="BG147" s="33"/>
      <c r="BH147" s="33"/>
      <c r="BI147" s="38"/>
    </row>
    <row r="148" spans="2:61" x14ac:dyDescent="0.55000000000000004">
      <c r="C148" s="135" t="s">
        <v>58</v>
      </c>
      <c r="D148" s="158" t="s">
        <v>287</v>
      </c>
      <c r="E148" t="s">
        <v>384</v>
      </c>
      <c r="F148" s="158" t="s">
        <v>243</v>
      </c>
      <c r="H148" s="32">
        <v>5400</v>
      </c>
      <c r="I148" s="33"/>
      <c r="J148" s="94">
        <f t="shared" si="261"/>
        <v>608.50951318289583</v>
      </c>
      <c r="K148" s="35"/>
      <c r="L148" s="23">
        <v>2.5493333333333332</v>
      </c>
      <c r="M148" s="23">
        <v>1.8496666666666666</v>
      </c>
      <c r="N148" s="23">
        <v>3.3719999999999999</v>
      </c>
      <c r="O148" s="23">
        <v>0.40500000000000003</v>
      </c>
      <c r="P148" s="33"/>
      <c r="Q148" s="23">
        <v>2.3879999999999999</v>
      </c>
      <c r="R148" s="23">
        <v>0.33100000000000002</v>
      </c>
      <c r="S148" s="23">
        <v>0.12</v>
      </c>
      <c r="T148" s="23">
        <v>0.158</v>
      </c>
      <c r="U148" s="33"/>
      <c r="V148" s="48">
        <f t="shared" si="262"/>
        <v>0.79182049388793174</v>
      </c>
      <c r="W148" s="33">
        <f t="shared" si="263"/>
        <v>0.11314846719719966</v>
      </c>
      <c r="X148" s="48">
        <f t="shared" si="264"/>
        <v>4.1020592337353348E-2</v>
      </c>
      <c r="Y148" s="48">
        <f t="shared" si="265"/>
        <v>5.4010446577515248E-2</v>
      </c>
      <c r="Z148" s="48"/>
      <c r="AA148" s="48">
        <f t="shared" si="266"/>
        <v>-3.1467877876314262E-2</v>
      </c>
      <c r="AB148" s="48">
        <f t="shared" si="267"/>
        <v>2.2421401320674842E-3</v>
      </c>
      <c r="AC148" s="48">
        <f t="shared" si="268"/>
        <v>-8.1474826112042251</v>
      </c>
      <c r="AD148" s="48"/>
      <c r="AE148" s="48">
        <f t="shared" si="269"/>
        <v>-3.227276247624328</v>
      </c>
      <c r="AF148" s="48">
        <f t="shared" si="270"/>
        <v>1.6668122707401152E-2</v>
      </c>
      <c r="AG148" s="48">
        <f t="shared" si="271"/>
        <v>8163.4605710996238</v>
      </c>
      <c r="AH148" s="33"/>
      <c r="AI148" s="48">
        <f t="shared" si="272"/>
        <v>-1.0084387383683506</v>
      </c>
      <c r="AJ148" s="48">
        <f t="shared" si="273"/>
        <v>2.888597514755922E-2</v>
      </c>
      <c r="AK148" s="48">
        <f t="shared" si="274"/>
        <v>2887.0315270078645</v>
      </c>
      <c r="AL148" s="33"/>
      <c r="AM148" s="33"/>
      <c r="AN148" s="48">
        <f t="shared" si="275"/>
        <v>0.2859811363660974</v>
      </c>
      <c r="AO148" s="48">
        <f t="shared" si="276"/>
        <v>0.23472101151093158</v>
      </c>
      <c r="AP148" s="48">
        <f t="shared" si="277"/>
        <v>0.42790372183178665</v>
      </c>
      <c r="AQ148" s="48">
        <f t="shared" si="278"/>
        <v>5.1394130291184344E-2</v>
      </c>
      <c r="AR148" s="33"/>
      <c r="AS148" s="48"/>
      <c r="AT148" s="33">
        <f t="shared" si="279"/>
        <v>169920.29861674565</v>
      </c>
      <c r="AU148" s="33">
        <f t="shared" si="280"/>
        <v>192.72780033112005</v>
      </c>
      <c r="AV148" s="35">
        <f t="shared" si="281"/>
        <v>608.50951318289583</v>
      </c>
      <c r="AW148" s="33"/>
      <c r="AX148" s="35"/>
      <c r="AY148" s="33"/>
      <c r="AZ148" s="33"/>
      <c r="BA148" s="33"/>
      <c r="BB148" s="34"/>
      <c r="BC148" s="35"/>
      <c r="BD148" s="33"/>
      <c r="BE148" s="36"/>
      <c r="BG148" s="33"/>
      <c r="BH148" s="33"/>
      <c r="BI148" s="38"/>
    </row>
    <row r="149" spans="2:61" x14ac:dyDescent="0.55000000000000004">
      <c r="C149" s="135" t="s">
        <v>58</v>
      </c>
      <c r="D149" s="158" t="s">
        <v>287</v>
      </c>
      <c r="E149" t="s">
        <v>385</v>
      </c>
      <c r="F149" s="158" t="s">
        <v>244</v>
      </c>
      <c r="H149" s="32">
        <v>5400</v>
      </c>
      <c r="I149" s="33"/>
      <c r="J149" s="94">
        <f t="shared" si="261"/>
        <v>607.23842370830096</v>
      </c>
      <c r="K149" s="35"/>
      <c r="L149" s="23">
        <v>2.5493333333333332</v>
      </c>
      <c r="M149" s="23">
        <v>1.8496666666666666</v>
      </c>
      <c r="N149" s="23">
        <v>3.3719999999999999</v>
      </c>
      <c r="O149" s="23">
        <v>0.40500000000000003</v>
      </c>
      <c r="P149" s="33"/>
      <c r="Q149" s="23">
        <v>2.4049999999999998</v>
      </c>
      <c r="R149" s="23">
        <v>0.33</v>
      </c>
      <c r="S149" s="23">
        <v>0.115</v>
      </c>
      <c r="T149" s="23">
        <v>0.158</v>
      </c>
      <c r="U149" s="33"/>
      <c r="V149" s="48">
        <f t="shared" si="262"/>
        <v>0.79460803515165956</v>
      </c>
      <c r="W149" s="33">
        <f t="shared" si="263"/>
        <v>0.11240356285232557</v>
      </c>
      <c r="X149" s="48">
        <f t="shared" si="264"/>
        <v>3.9170938569749819E-2</v>
      </c>
      <c r="Y149" s="48">
        <f t="shared" si="265"/>
        <v>5.3817463426264971E-2</v>
      </c>
      <c r="Z149" s="48"/>
      <c r="AA149" s="48">
        <f t="shared" si="266"/>
        <v>-3.3738889148190357E-2</v>
      </c>
      <c r="AB149" s="48">
        <f t="shared" si="267"/>
        <v>2.2069042060893396E-3</v>
      </c>
      <c r="AC149" s="48">
        <f t="shared" si="268"/>
        <v>-0.25304555055485878</v>
      </c>
      <c r="AD149" s="48"/>
      <c r="AE149" s="48">
        <f t="shared" si="269"/>
        <v>-3.2324339667489737</v>
      </c>
      <c r="AF149" s="48">
        <f t="shared" si="270"/>
        <v>1.702351828327656E-2</v>
      </c>
      <c r="AG149" s="48">
        <f t="shared" si="271"/>
        <v>8149.0324133867143</v>
      </c>
      <c r="AH149" s="33"/>
      <c r="AI149" s="48">
        <f t="shared" si="272"/>
        <v>-0.97535690342298176</v>
      </c>
      <c r="AJ149" s="48">
        <f t="shared" si="273"/>
        <v>2.8731129242633834E-2</v>
      </c>
      <c r="AK149" s="48">
        <f t="shared" si="274"/>
        <v>2813.7898412999825</v>
      </c>
      <c r="AL149" s="33"/>
      <c r="AM149" s="33"/>
      <c r="AN149" s="48">
        <f t="shared" si="275"/>
        <v>0.2859811363660974</v>
      </c>
      <c r="AO149" s="48">
        <f t="shared" si="276"/>
        <v>0.23472101151093158</v>
      </c>
      <c r="AP149" s="48">
        <f t="shared" si="277"/>
        <v>0.42790372183178665</v>
      </c>
      <c r="AQ149" s="48">
        <f t="shared" si="278"/>
        <v>5.1394130291184344E-2</v>
      </c>
      <c r="AR149" s="33"/>
      <c r="AS149" s="48"/>
      <c r="AT149" s="33">
        <f t="shared" si="279"/>
        <v>169900.08543208209</v>
      </c>
      <c r="AU149" s="33">
        <f t="shared" si="280"/>
        <v>192.98309797900646</v>
      </c>
      <c r="AV149" s="35">
        <f t="shared" si="281"/>
        <v>607.23842370830096</v>
      </c>
      <c r="AW149" s="33"/>
      <c r="AX149" s="35"/>
      <c r="AY149" s="33"/>
      <c r="AZ149" s="33"/>
      <c r="BA149" s="33"/>
      <c r="BB149" s="34"/>
      <c r="BC149" s="35"/>
      <c r="BD149" s="33"/>
      <c r="BE149" s="36"/>
      <c r="BG149" s="33"/>
      <c r="BH149" s="33"/>
      <c r="BI149" s="38"/>
    </row>
    <row r="150" spans="2:61" x14ac:dyDescent="0.55000000000000004">
      <c r="C150" s="135" t="s">
        <v>58</v>
      </c>
      <c r="D150" s="158" t="s">
        <v>287</v>
      </c>
      <c r="E150" t="s">
        <v>386</v>
      </c>
      <c r="F150" s="158" t="s">
        <v>245</v>
      </c>
      <c r="H150" s="32">
        <v>5400</v>
      </c>
      <c r="I150" s="33"/>
      <c r="J150" s="94">
        <f t="shared" si="261"/>
        <v>609.01216947713783</v>
      </c>
      <c r="K150" s="35"/>
      <c r="L150" s="23">
        <v>2.5493333333333332</v>
      </c>
      <c r="M150" s="23">
        <v>1.8496666666666666</v>
      </c>
      <c r="N150" s="23">
        <v>3.3719999999999999</v>
      </c>
      <c r="O150" s="23">
        <v>0.40500000000000003</v>
      </c>
      <c r="P150" s="33"/>
      <c r="Q150" s="23">
        <v>2.3940000000000001</v>
      </c>
      <c r="R150" s="23">
        <v>0.33400000000000002</v>
      </c>
      <c r="S150" s="23">
        <v>0.11899999999999999</v>
      </c>
      <c r="T150" s="23">
        <v>0.153</v>
      </c>
      <c r="U150" s="33"/>
      <c r="V150" s="48">
        <f t="shared" si="262"/>
        <v>0.79304550949736696</v>
      </c>
      <c r="W150" s="33">
        <f t="shared" si="263"/>
        <v>0.11406402611861294</v>
      </c>
      <c r="X150" s="48">
        <f t="shared" si="264"/>
        <v>4.0639578168008797E-2</v>
      </c>
      <c r="Y150" s="48">
        <f t="shared" si="265"/>
        <v>5.2250886216011316E-2</v>
      </c>
      <c r="Z150" s="48"/>
      <c r="AA150" s="48">
        <f t="shared" si="266"/>
        <v>-3.7145551286533331E-2</v>
      </c>
      <c r="AB150" s="48">
        <f t="shared" si="267"/>
        <v>2.2573120378761827E-3</v>
      </c>
      <c r="AC150" s="48">
        <f t="shared" si="268"/>
        <v>1.3585959141237183</v>
      </c>
      <c r="AD150" s="48"/>
      <c r="AE150" s="48">
        <f t="shared" si="269"/>
        <v>-3.1809193183882889</v>
      </c>
      <c r="AF150" s="48">
        <f t="shared" si="270"/>
        <v>1.66384607176258E-2</v>
      </c>
      <c r="AG150" s="48">
        <f t="shared" si="271"/>
        <v>8080.86539434522</v>
      </c>
      <c r="AH150" s="33"/>
      <c r="AI150" s="48">
        <f t="shared" si="272"/>
        <v>-1.0043624959405086</v>
      </c>
      <c r="AJ150" s="48">
        <f t="shared" si="273"/>
        <v>2.8628491394208439E-2</v>
      </c>
      <c r="AK150" s="48">
        <f t="shared" si="274"/>
        <v>2888.046817960987</v>
      </c>
      <c r="AL150" s="33"/>
      <c r="AM150" s="33"/>
      <c r="AN150" s="48">
        <f t="shared" si="275"/>
        <v>0.2859811363660974</v>
      </c>
      <c r="AO150" s="48">
        <f t="shared" si="276"/>
        <v>0.23472101151093158</v>
      </c>
      <c r="AP150" s="48">
        <f t="shared" si="277"/>
        <v>0.42790372183178665</v>
      </c>
      <c r="AQ150" s="48">
        <f t="shared" si="278"/>
        <v>5.1394130291184344E-2</v>
      </c>
      <c r="AR150" s="33"/>
      <c r="AS150" s="48"/>
      <c r="AT150" s="33">
        <f t="shared" si="279"/>
        <v>169827.95525842978</v>
      </c>
      <c r="AU150" s="33">
        <f t="shared" si="280"/>
        <v>192.51330552871894</v>
      </c>
      <c r="AV150" s="35">
        <f t="shared" si="281"/>
        <v>609.01216947713783</v>
      </c>
      <c r="AW150" s="33"/>
      <c r="AX150" s="35"/>
      <c r="AY150" s="33"/>
      <c r="AZ150" s="33"/>
      <c r="BA150" s="33"/>
      <c r="BB150" s="34"/>
      <c r="BC150" s="35"/>
      <c r="BD150" s="33"/>
      <c r="BE150" s="36"/>
      <c r="BG150" s="33"/>
      <c r="BH150" s="33"/>
      <c r="BI150" s="38"/>
    </row>
    <row r="151" spans="2:61" x14ac:dyDescent="0.55000000000000004">
      <c r="C151" s="135" t="s">
        <v>58</v>
      </c>
      <c r="D151" s="158" t="s">
        <v>287</v>
      </c>
      <c r="E151" t="s">
        <v>387</v>
      </c>
      <c r="F151" s="158" t="s">
        <v>246</v>
      </c>
      <c r="H151" s="32">
        <v>5400</v>
      </c>
      <c r="I151" s="33"/>
      <c r="J151" s="94">
        <f t="shared" si="261"/>
        <v>614.39151176478538</v>
      </c>
      <c r="K151" s="35"/>
      <c r="L151" s="23">
        <v>2.5493333333333332</v>
      </c>
      <c r="M151" s="23">
        <v>1.8496666666666666</v>
      </c>
      <c r="N151" s="23">
        <v>3.3719999999999999</v>
      </c>
      <c r="O151" s="23">
        <v>0.40500000000000003</v>
      </c>
      <c r="P151" s="33"/>
      <c r="Q151" s="23">
        <v>2.3929999999999998</v>
      </c>
      <c r="R151" s="23">
        <v>0.35199999999999998</v>
      </c>
      <c r="S151" s="23">
        <v>0.11899999999999999</v>
      </c>
      <c r="T151" s="23">
        <v>0.14799999999999999</v>
      </c>
      <c r="U151" s="33"/>
      <c r="V151" s="48">
        <f t="shared" si="262"/>
        <v>0.78947082011148861</v>
      </c>
      <c r="W151" s="33">
        <f t="shared" si="263"/>
        <v>0.11971933977505007</v>
      </c>
      <c r="X151" s="48">
        <f t="shared" si="264"/>
        <v>4.0473299526224318E-2</v>
      </c>
      <c r="Y151" s="48">
        <f t="shared" si="265"/>
        <v>5.0336540587236966E-2</v>
      </c>
      <c r="Z151" s="48"/>
      <c r="AA151" s="48">
        <f t="shared" si="266"/>
        <v>-5.0014190507614159E-2</v>
      </c>
      <c r="AB151" s="48">
        <f t="shared" si="267"/>
        <v>2.4038001772927905E-3</v>
      </c>
      <c r="AC151" s="48">
        <f t="shared" si="268"/>
        <v>20.328336548204355</v>
      </c>
      <c r="AD151" s="48"/>
      <c r="AE151" s="48">
        <f t="shared" si="269"/>
        <v>-3.0357996755656003</v>
      </c>
      <c r="AF151" s="48">
        <f t="shared" si="270"/>
        <v>1.5898802085816302E-2</v>
      </c>
      <c r="AG151" s="48">
        <f t="shared" si="271"/>
        <v>7828.7106180089868</v>
      </c>
      <c r="AH151" s="33"/>
      <c r="AI151" s="48">
        <f t="shared" si="272"/>
        <v>-1.037884297475214</v>
      </c>
      <c r="AJ151" s="48">
        <f t="shared" si="273"/>
        <v>2.7874625766780813E-2</v>
      </c>
      <c r="AK151" s="48">
        <f t="shared" si="274"/>
        <v>3023.0581222270716</v>
      </c>
      <c r="AL151" s="33"/>
      <c r="AM151" s="33"/>
      <c r="AN151" s="48">
        <f t="shared" si="275"/>
        <v>0.2859811363660974</v>
      </c>
      <c r="AO151" s="48">
        <f t="shared" si="276"/>
        <v>0.23472101151093158</v>
      </c>
      <c r="AP151" s="48">
        <f t="shared" si="277"/>
        <v>0.42790372183178665</v>
      </c>
      <c r="AQ151" s="48">
        <f t="shared" si="278"/>
        <v>5.1394130291184344E-2</v>
      </c>
      <c r="AR151" s="33"/>
      <c r="AS151" s="48"/>
      <c r="AT151" s="33">
        <f t="shared" si="279"/>
        <v>169552.04554889482</v>
      </c>
      <c r="AU151" s="33">
        <f t="shared" si="280"/>
        <v>191.03562289921285</v>
      </c>
      <c r="AV151" s="35">
        <f t="shared" si="281"/>
        <v>614.39151176478538</v>
      </c>
      <c r="AW151" s="33"/>
      <c r="AX151" s="35"/>
      <c r="AY151" s="33"/>
      <c r="AZ151" s="33"/>
      <c r="BA151" s="33"/>
      <c r="BB151" s="34"/>
      <c r="BC151" s="35"/>
      <c r="BD151" s="33"/>
      <c r="BE151" s="36"/>
      <c r="BG151" s="33"/>
      <c r="BH151" s="33"/>
      <c r="BI151" s="38"/>
    </row>
    <row r="152" spans="2:61" x14ac:dyDescent="0.55000000000000004">
      <c r="C152" s="135" t="s">
        <v>58</v>
      </c>
      <c r="D152" s="158" t="s">
        <v>287</v>
      </c>
      <c r="E152" t="s">
        <v>388</v>
      </c>
      <c r="F152" s="158" t="s">
        <v>247</v>
      </c>
      <c r="H152" s="32">
        <v>5400</v>
      </c>
      <c r="I152" s="33"/>
      <c r="J152" s="94">
        <f t="shared" si="261"/>
        <v>613.95696442697965</v>
      </c>
      <c r="K152" s="35"/>
      <c r="L152" s="23">
        <v>2.5493333333333332</v>
      </c>
      <c r="M152" s="23">
        <v>1.8496666666666666</v>
      </c>
      <c r="N152" s="23">
        <v>3.3719999999999999</v>
      </c>
      <c r="O152" s="23">
        <v>0.40500000000000003</v>
      </c>
      <c r="P152" s="33"/>
      <c r="Q152" s="23">
        <v>2.3839999999999999</v>
      </c>
      <c r="R152" s="23">
        <v>0.34899999999999998</v>
      </c>
      <c r="S152" s="23">
        <v>0.12</v>
      </c>
      <c r="T152" s="23">
        <v>0.14799999999999999</v>
      </c>
      <c r="U152" s="33"/>
      <c r="V152" s="48">
        <f t="shared" si="262"/>
        <v>0.7893824159919165</v>
      </c>
      <c r="W152" s="33">
        <f t="shared" si="263"/>
        <v>0.11913377118123351</v>
      </c>
      <c r="X152" s="48">
        <f t="shared" si="264"/>
        <v>4.0962901265753644E-2</v>
      </c>
      <c r="Y152" s="48">
        <f t="shared" si="265"/>
        <v>5.0520911561096157E-2</v>
      </c>
      <c r="Z152" s="48"/>
      <c r="AA152" s="48">
        <f t="shared" si="266"/>
        <v>-4.7905086501142738E-2</v>
      </c>
      <c r="AB152" s="48">
        <f t="shared" si="267"/>
        <v>2.3923177366958048E-3</v>
      </c>
      <c r="AC152" s="48">
        <f t="shared" si="268"/>
        <v>16.032820620958006</v>
      </c>
      <c r="AD152" s="48"/>
      <c r="AE152" s="48">
        <f t="shared" si="269"/>
        <v>-3.0525582922928995</v>
      </c>
      <c r="AF152" s="48">
        <f t="shared" si="270"/>
        <v>1.5915660735924136E-2</v>
      </c>
      <c r="AG152" s="48">
        <f t="shared" si="271"/>
        <v>7864.0018400590352</v>
      </c>
      <c r="AH152" s="33"/>
      <c r="AI152" s="48">
        <f t="shared" si="272"/>
        <v>-1.0412313936314357</v>
      </c>
      <c r="AJ152" s="48">
        <f t="shared" si="273"/>
        <v>2.801014125016138E-2</v>
      </c>
      <c r="AK152" s="48">
        <f t="shared" si="274"/>
        <v>3021.9060692474395</v>
      </c>
      <c r="AL152" s="33"/>
      <c r="AM152" s="33"/>
      <c r="AN152" s="48">
        <f t="shared" si="275"/>
        <v>0.2859811363660974</v>
      </c>
      <c r="AO152" s="48">
        <f t="shared" si="276"/>
        <v>0.23472101151093158</v>
      </c>
      <c r="AP152" s="48">
        <f t="shared" si="277"/>
        <v>0.42790372183178665</v>
      </c>
      <c r="AQ152" s="48">
        <f t="shared" si="278"/>
        <v>5.1394130291184344E-2</v>
      </c>
      <c r="AR152" s="33"/>
      <c r="AS152" s="48"/>
      <c r="AT152" s="33">
        <f t="shared" si="279"/>
        <v>169591.78532876194</v>
      </c>
      <c r="AU152" s="33">
        <f t="shared" si="280"/>
        <v>191.17399832195943</v>
      </c>
      <c r="AV152" s="35">
        <f t="shared" si="281"/>
        <v>613.95696442697965</v>
      </c>
      <c r="AW152" s="33"/>
      <c r="AX152" s="35"/>
      <c r="AY152" s="33"/>
      <c r="AZ152" s="33"/>
      <c r="BA152" s="33"/>
      <c r="BB152" s="34"/>
      <c r="BC152" s="35"/>
      <c r="BD152" s="33"/>
      <c r="BE152" s="36"/>
      <c r="BF152" s="36"/>
      <c r="BG152" s="33"/>
      <c r="BH152" s="33"/>
      <c r="BI152" s="38"/>
    </row>
    <row r="153" spans="2:61" x14ac:dyDescent="0.55000000000000004">
      <c r="C153" s="135" t="s">
        <v>58</v>
      </c>
      <c r="D153" s="158" t="s">
        <v>287</v>
      </c>
      <c r="E153" t="s">
        <v>379</v>
      </c>
      <c r="F153" s="158" t="s">
        <v>250</v>
      </c>
      <c r="H153" s="32">
        <v>5400</v>
      </c>
      <c r="I153" s="33"/>
      <c r="J153" s="94">
        <f t="shared" si="261"/>
        <v>618.95362540279848</v>
      </c>
      <c r="K153" s="35"/>
      <c r="L153" s="23">
        <v>2.5493333333333332</v>
      </c>
      <c r="M153" s="23">
        <v>1.8496666666666666</v>
      </c>
      <c r="N153" s="23">
        <v>3.3719999999999999</v>
      </c>
      <c r="O153" s="23">
        <v>0.40500000000000003</v>
      </c>
      <c r="P153" s="33"/>
      <c r="Q153" s="23">
        <v>2.3849999999999998</v>
      </c>
      <c r="R153" s="23">
        <v>0.36599999999999999</v>
      </c>
      <c r="S153" s="23">
        <v>0.11899999999999999</v>
      </c>
      <c r="T153" s="23">
        <v>0.152</v>
      </c>
      <c r="U153" s="33"/>
      <c r="V153" s="48">
        <f t="shared" si="262"/>
        <v>0.78410073039705797</v>
      </c>
      <c r="W153" s="33">
        <f t="shared" si="263"/>
        <v>0.12404887390059144</v>
      </c>
      <c r="X153" s="48">
        <f t="shared" si="264"/>
        <v>4.0332830585164972E-2</v>
      </c>
      <c r="Y153" s="48">
        <f t="shared" si="265"/>
        <v>5.1517565117185513E-2</v>
      </c>
      <c r="Z153" s="48"/>
      <c r="AA153" s="48">
        <f t="shared" si="266"/>
        <v>-5.4131415496082004E-2</v>
      </c>
      <c r="AB153" s="48">
        <f t="shared" si="267"/>
        <v>2.5272706907165294E-3</v>
      </c>
      <c r="AC153" s="48">
        <f t="shared" si="268"/>
        <v>25.898255003171442</v>
      </c>
      <c r="AD153" s="48"/>
      <c r="AE153" s="48">
        <f t="shared" si="269"/>
        <v>-2.9651184849000867</v>
      </c>
      <c r="AF153" s="48">
        <f t="shared" si="270"/>
        <v>1.5265458513968034E-2</v>
      </c>
      <c r="AG153" s="48">
        <f t="shared" si="271"/>
        <v>7700.7780945771774</v>
      </c>
      <c r="AH153" s="33"/>
      <c r="AI153" s="48">
        <f t="shared" si="272"/>
        <v>-1.0721366019128027</v>
      </c>
      <c r="AJ153" s="48">
        <f t="shared" si="273"/>
        <v>2.7479685196504882E-2</v>
      </c>
      <c r="AK153" s="48">
        <f t="shared" si="274"/>
        <v>3148.3156815740326</v>
      </c>
      <c r="AL153" s="33"/>
      <c r="AM153" s="33"/>
      <c r="AN153" s="48">
        <f t="shared" si="275"/>
        <v>0.2859811363660974</v>
      </c>
      <c r="AO153" s="48">
        <f t="shared" si="276"/>
        <v>0.23472101151093158</v>
      </c>
      <c r="AP153" s="48">
        <f t="shared" si="277"/>
        <v>0.42790372183178665</v>
      </c>
      <c r="AQ153" s="48">
        <f t="shared" si="278"/>
        <v>5.1394130291184344E-2</v>
      </c>
      <c r="AR153" s="33"/>
      <c r="AS153" s="48"/>
      <c r="AT153" s="33">
        <f t="shared" si="279"/>
        <v>169414.45631094757</v>
      </c>
      <c r="AU153" s="33">
        <f t="shared" si="280"/>
        <v>189.90445895167656</v>
      </c>
      <c r="AV153" s="35">
        <f t="shared" si="281"/>
        <v>618.95362540279848</v>
      </c>
      <c r="AW153" s="33"/>
      <c r="AX153" s="35"/>
      <c r="AY153" s="33"/>
      <c r="AZ153" s="33"/>
      <c r="BA153" s="33"/>
      <c r="BB153" s="34"/>
      <c r="BC153" s="35"/>
      <c r="BD153" s="33"/>
      <c r="BE153" s="36"/>
      <c r="BG153" s="33"/>
      <c r="BH153" s="33"/>
      <c r="BI153" s="38"/>
    </row>
    <row r="154" spans="2:61" x14ac:dyDescent="0.55000000000000004">
      <c r="H154" s="32"/>
      <c r="I154" s="36" t="s">
        <v>59</v>
      </c>
      <c r="J154" s="153">
        <f>AVERAGE(J143:J153)</f>
        <v>605.00760667476175</v>
      </c>
      <c r="K154" s="35"/>
      <c r="L154" s="23"/>
      <c r="M154" s="23"/>
      <c r="N154" s="23"/>
      <c r="O154" s="23"/>
      <c r="P154" s="48"/>
      <c r="Q154" s="23"/>
      <c r="R154" s="23"/>
      <c r="S154" s="23"/>
      <c r="T154" s="23"/>
      <c r="U154" s="48"/>
      <c r="V154" s="48"/>
      <c r="W154" s="33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33"/>
      <c r="AI154" s="48"/>
      <c r="AJ154" s="48"/>
      <c r="AK154" s="48"/>
      <c r="AL154" s="33"/>
      <c r="AM154" s="33"/>
      <c r="AN154" s="48"/>
      <c r="AO154" s="48"/>
      <c r="AP154" s="48"/>
      <c r="AQ154" s="48"/>
      <c r="AR154" s="33"/>
      <c r="AS154" s="48"/>
      <c r="AT154" s="33"/>
      <c r="AU154" s="33"/>
      <c r="AV154" s="35"/>
      <c r="AW154" s="33"/>
      <c r="AX154" s="35"/>
      <c r="AY154" s="33"/>
      <c r="AZ154" s="33"/>
      <c r="BA154" s="33"/>
      <c r="BB154" s="34"/>
      <c r="BC154" s="35"/>
      <c r="BD154" s="33"/>
      <c r="BE154" s="36"/>
      <c r="BG154" s="33"/>
      <c r="BH154" s="33"/>
      <c r="BI154" s="38"/>
    </row>
    <row r="155" spans="2:61" x14ac:dyDescent="0.55000000000000004">
      <c r="H155" s="23"/>
      <c r="J155" s="19"/>
      <c r="L155" s="23"/>
      <c r="M155" s="23"/>
      <c r="N155" s="23"/>
      <c r="O155" s="23"/>
      <c r="Q155" s="23"/>
      <c r="R155" s="23"/>
      <c r="S155" s="23"/>
      <c r="T155" s="23"/>
    </row>
    <row r="156" spans="2:61" x14ac:dyDescent="0.55000000000000004">
      <c r="B156" s="47" t="s">
        <v>84</v>
      </c>
      <c r="C156" s="135" t="s">
        <v>72</v>
      </c>
      <c r="D156" s="158" t="s">
        <v>248</v>
      </c>
      <c r="E156" s="135" t="s">
        <v>71</v>
      </c>
      <c r="F156" s="158" t="s">
        <v>389</v>
      </c>
      <c r="H156" s="32">
        <v>7070</v>
      </c>
      <c r="I156" s="33"/>
      <c r="J156" s="94">
        <f t="shared" ref="J156:J165" si="282">AV156</f>
        <v>676.86358721540478</v>
      </c>
      <c r="K156" s="35"/>
      <c r="L156" s="23">
        <v>2.6139999999999999</v>
      </c>
      <c r="M156" s="23">
        <v>1.64</v>
      </c>
      <c r="N156" s="23">
        <v>3.4820000000000002</v>
      </c>
      <c r="O156" s="23">
        <v>0.41899999999999998</v>
      </c>
      <c r="P156" s="48"/>
      <c r="Q156" s="23">
        <v>2.3159999999999998</v>
      </c>
      <c r="R156" s="23">
        <v>0.51500000000000001</v>
      </c>
      <c r="S156" s="23">
        <v>0.113</v>
      </c>
      <c r="T156" s="23">
        <v>9.5000000000000001E-2</v>
      </c>
      <c r="U156" s="48"/>
      <c r="V156" s="48">
        <f t="shared" ref="V156:V165" si="283">Q156*0.97/(Q156*0.97+R156+S156+T156)</f>
        <v>0.75652630728198489</v>
      </c>
      <c r="W156" s="33">
        <f t="shared" ref="W156:W165" si="284">R156/(Q156*0.97+R156+S156+T156)</f>
        <v>0.17342870228185026</v>
      </c>
      <c r="X156" s="48">
        <f t="shared" ref="X156:X165" si="285">S156/(Q156*0.97+R156+S156+T156)</f>
        <v>3.8053288073493355E-2</v>
      </c>
      <c r="Y156" s="48">
        <f t="shared" ref="Y156:Y165" si="286">T156/(Q156*0.97+R156+S156+T156)</f>
        <v>3.1991702362671404E-2</v>
      </c>
      <c r="Z156" s="48"/>
      <c r="AA156" s="48">
        <f t="shared" ref="AA156:AA165" si="287">5.993*W156*W156-9.67*X156*X156-11.006*V156*W156+0.674*V156*X156-9.5725*W156*X156-22.765*W156*Y156-4.6665*X156*Y156+11.006*V156*V156*W156-0.674*V156*V156*X156-11.986*W156*W156*V156+37.966*W156*W156*X156+46.02*W156*W156*Y156+19.34*X156*X156*V156+25.746*X156*X156*W156+46.02*Y156*Y156*W156+19.145*V156*W156*X156+45.53*V156*W156*Y156+9.333*V156*X156*Y156+77.876*W156*X156*Y156</f>
        <v>-0.21321359519641914</v>
      </c>
      <c r="AB156" s="48">
        <f t="shared" ref="AB156:AB165" si="288">-0.034*W156*W156+0.135*X156*X156+0.024*Y156*Y156+0.1*V156*W156+0.08*V156*X156+0.048*V156*Y156-0.0515*W156*X156+0.07*W156*Y156+0.1765*X156*Y156-0.1*V156*V156*W156-0.08*V156*V156*X156-0.048*V156*V156*Y156+0.068*W156*W156*V156-0.136*W156*W156*X156-0.076*W156*W156*Y156-0.27*X156*X156*V156-0.28*X156*X156*W156-0.13*X156*X156*Y156-0.048*Y156*Y156*V156-0.076*Y156*Y156*W156-0.13*Y156*Y156*X156+0.103*V156*W156*X156-0.14*V156*W156*Y156-0.353*V156*X156*Y156-0.414*W156*X156*Y156</f>
        <v>3.9035972300573074E-3</v>
      </c>
      <c r="AC156" s="48">
        <f t="shared" ref="AC156:AC165" si="289">-5672*W156*W156+19932*X156*X156+1617*Y156*Y156+23244*V156*W156-2608*V156*X156+3234*V156*Y156+31326.5*W156*X156+45841*W156*Y156+12356*X156*Y156-23244*V156*V156*W156+2608*V156*V156*X156-3234*V156*V156*Y156+11344*W156*W156*V156-132228*W156*W156*X156-82498*W156*W156*Y156-39864*X156*X156*V156-51518*X156*X156*W156-2850*X156*X156*Y156-3234*Y156*Y156*V156-82498*Y156*Y156*W156-2850*Y156*Y156*X156-62653*V156*W156*X156-91682*V156*W156*Y156-24712*V156*X156*Y156-177221*W156*X156*Y156</f>
        <v>274.92651524491265</v>
      </c>
      <c r="AD156" s="48"/>
      <c r="AE156" s="48">
        <f t="shared" ref="AE156:AE165" si="290">-5.503*V156*V156-12.873*X156*X156-23.01*Y156*Y156+11.986*V156*W156-9.5725*V156*X156-22.765*V156*Y156-37.966*W156*X156-46.02*W156*Y156-38.938*X156*Y156+11.006*V156*V156*W156-0.674*V156*V156*X156-11.986*W156*W156*V156+37.966*W156*W156*X156+46.02*W156*W156*Y156+19.34*X156*X156*V156+25.746*X156*X156*W156+46.02*Y156*Y156*W156+19.145*V156*W156*X156+45.53*V156*W156*Y156+9.333*V156*X156*Y156+77.876*W156*X156*Y156</f>
        <v>-1.7586532103867907</v>
      </c>
      <c r="AF156" s="48">
        <f t="shared" ref="AF156:AF165" si="291">0.05*V156*V156+0.14*X156*X156+0.038*Y156*Y156-0.068*V156*W156-0.0515*V156*X156+0.07*V156*Y156+0.136*W156*X156+0.076*W156*Y156+0.207*X156*Y156-0.1*V156*V156*W156-0.08*V156*V156*X156-0.048*V156*V156*Y156+0.068*W156*W156*V156-0.136*W156*W156*X156-0.076*W156*W156*Y156-0.27*X156*X156*V156-0.28*X156*X156*W156-0.13*X156*X156*Y156-0.048*Y156*Y156*V156-0.076*Y156*Y156*W156-0.13*Y156*Y156*X156+0.103*V156*W156*X156-0.14*V156*W156*Y156-0.353*V156*X156*Y156-0.414*W156*X156*Y156</f>
        <v>9.5768626890644793E-3</v>
      </c>
      <c r="AG156" s="48">
        <f t="shared" ref="AG156:AG165" si="292">11622*V156*V156+25759*X156*X156+41249*Y156*Y156-11344*V156*W156+31326.5*V156*X156+45841*V156*Y156+132228*W156*X156+82498*W156*Y156+88610.5*X156*Y156-23244*V156*V156*W156+2608*V156*V156*X156-3234*V156*V156*Y156+11344*W156*W156*V156-132228*W156*W156*X156-82498*W156*W156*Y156-39864*X156*X156*V156-51518*X156*X156*W156-2850*X156*X156*Y156-3234*Y156*Y156*V156-82498*Y156*Y156*W156-2850*Y156*Y156*X156-62653*V156*W156*X156-91682*V156*W156*Y156-24712*V156*X156*Y156-177221*W156*X156*Y156</f>
        <v>5578.3399818138805</v>
      </c>
      <c r="AH156" s="33"/>
      <c r="AI156" s="48">
        <f t="shared" ref="AI156:AI165" si="293">0.337*V156*V156-18.983*W156*W156-9.5725*V156*W156-19.34*V156*X156-4.6665*V156*Y156-25.746*W156*X156-38.938*W156*Y156+11.006*V156*V156*W156-0.674*V156*V156*X156-11.986*W156*W156*V156+37.966*W156*W156*X156+46.02*W156*W156*Y156+19.34*X156*X156*V156+25.746*X156*X156*W156+46.02*Y156*Y156*W156+19.145*V156*W156*X156+45.53*V156*W156*Y156+9.333*V156*X156*Y156+77.876*W156*X156*Y156</f>
        <v>-1.4493704786131516</v>
      </c>
      <c r="AJ156" s="48">
        <f t="shared" ref="AJ156:AJ165" si="294">0.04*V156*V156+0.068*W156*W156+0.065*Y156*Y156-0.0515*V156*W156+0.27*V156*X156+0.1765*V156*Y156+0.28*W156*X156+0.207*W156*Y156+0.13*X156*Y156-0.1*V156*V156*W156-0.08*V156*V156*X156-0.048*V156*V156*Y156+0.068*W156*W156*V156-0.136*W156*W156*X156-0.076*W156*W156*Y156-0.27*X156*X156*V156-0.28*X156*X156*W156-0.13*X156*X156*Y156-0.048*Y156*Y156*V156-0.076*Y156*Y156*W156-0.13*Y156*Y156*X156+0.103*V156*W156*X156-0.14*V156*W156*Y156-0.353*V156*X156*Y156-0.414*W156*X156*Y156</f>
        <v>2.1305009320985471E-2</v>
      </c>
      <c r="AK156" s="48">
        <f t="shared" ref="AK156:AK165" si="295">-1304*V156*V156+66114*W156*W156+1425*Y156*Y156+31326.5*V156*W156+39864*V156*X156+12356*V156*Y156+51518*W156*X156+88610.5*W156*Y156+2850*X156*Y156-23244*V156*V156*W156+2608*V156*V156*X156-3234*V156*V156*Y156+11344*W156*W156*V156-132228*W156*W156*X156-82498*W156*W156*Y156-39864*X156*X156*V156-51518*X156*X156*W156-2850*X156*X156*Y156-3234*Y156*Y156*V156-82498*Y156*Y156*W156-2850*Y156*Y156*X156-62653*V156*W156*X156-91682*V156*W156*Y156-24712*V156*X156*Y156-177221*W156*X156*Y156</f>
        <v>4521.5943186285967</v>
      </c>
      <c r="AL156" s="33"/>
      <c r="AM156" s="33"/>
      <c r="AN156" s="48">
        <f t="shared" ref="AN156:AN165" si="296">L156*0.884/(L156*0.884+M156+N156+O156)</f>
        <v>0.29429978644321997</v>
      </c>
      <c r="AO156" s="48">
        <f t="shared" ref="AO156:AO165" si="297">M156/(L156*0.884+M156+N156+O156)</f>
        <v>0.20886994229076328</v>
      </c>
      <c r="AP156" s="48">
        <f t="shared" ref="AP156:AP165" si="298">N156/(L156*0.884+M156+N156+O156)</f>
        <v>0.44346654820514497</v>
      </c>
      <c r="AQ156" s="48">
        <f t="shared" ref="AQ156:AQ165" si="299">O156/(L156*0.884+M156+N156+O156)</f>
        <v>5.3363723060871837E-2</v>
      </c>
      <c r="AR156" s="33"/>
      <c r="AS156" s="48"/>
      <c r="AT156" s="33">
        <f t="shared" ref="AT156:AT165" si="300">40198+(0.295-(AB156-AF156))*H156-(AC156-AG156)+22998*(AO156-AN156)+245559*AP156+310990*AQ156</f>
        <v>171155.24424295369</v>
      </c>
      <c r="AU156" s="33">
        <f t="shared" ref="AU156:AU165" si="301">7.802+3*8.3144*LN((V156/W156)/(AN156/AO156))+(AA156-AE156)+17.396*(AO156-AN156)+280.396*AP156+370.39*AQ156</f>
        <v>180.16083827245956</v>
      </c>
      <c r="AV156" s="35">
        <f t="shared" ref="AV156:AV165" si="302">AT156/AU156-273.15</f>
        <v>676.86358721540478</v>
      </c>
      <c r="AW156" s="33"/>
      <c r="AX156" s="35"/>
      <c r="AY156" s="33"/>
      <c r="AZ156" s="33"/>
      <c r="BA156" s="33"/>
      <c r="BB156" s="34"/>
      <c r="BC156" s="35"/>
      <c r="BD156" s="33"/>
      <c r="BE156" s="36"/>
      <c r="BG156" s="33"/>
      <c r="BH156" s="33"/>
      <c r="BI156" s="38"/>
    </row>
    <row r="157" spans="2:61" x14ac:dyDescent="0.55000000000000004">
      <c r="C157" s="135" t="s">
        <v>72</v>
      </c>
      <c r="D157" s="158" t="s">
        <v>248</v>
      </c>
      <c r="E157" s="135" t="s">
        <v>73</v>
      </c>
      <c r="F157" s="158" t="s">
        <v>389</v>
      </c>
      <c r="H157" s="32">
        <v>7070</v>
      </c>
      <c r="I157" s="33"/>
      <c r="J157" s="94">
        <f t="shared" si="282"/>
        <v>675.25924923737705</v>
      </c>
      <c r="K157" s="35"/>
      <c r="L157" s="23">
        <v>2.6139999999999999</v>
      </c>
      <c r="M157" s="23">
        <v>1.64</v>
      </c>
      <c r="N157" s="23">
        <v>3.4820000000000002</v>
      </c>
      <c r="O157" s="23">
        <v>0.41899999999999998</v>
      </c>
      <c r="P157" s="48"/>
      <c r="Q157" s="23">
        <v>2.3159999999999998</v>
      </c>
      <c r="R157" s="23">
        <v>0.50700000000000001</v>
      </c>
      <c r="S157" s="23">
        <v>0.11799999999999999</v>
      </c>
      <c r="T157" s="23">
        <v>9.5000000000000001E-2</v>
      </c>
      <c r="U157" s="48"/>
      <c r="V157" s="48">
        <f t="shared" si="283"/>
        <v>0.75729137170826422</v>
      </c>
      <c r="W157" s="33">
        <f t="shared" si="284"/>
        <v>0.17090732575543061</v>
      </c>
      <c r="X157" s="48">
        <f t="shared" si="285"/>
        <v>3.9777247414478918E-2</v>
      </c>
      <c r="Y157" s="48">
        <f t="shared" si="286"/>
        <v>3.2024055121826246E-2</v>
      </c>
      <c r="Z157" s="48"/>
      <c r="AA157" s="48">
        <f t="shared" si="287"/>
        <v>-0.20320696957678383</v>
      </c>
      <c r="AB157" s="48">
        <f t="shared" si="288"/>
        <v>3.8443323101820573E-3</v>
      </c>
      <c r="AC157" s="48">
        <f t="shared" si="289"/>
        <v>253.47626466924135</v>
      </c>
      <c r="AD157" s="48"/>
      <c r="AE157" s="48">
        <f t="shared" si="290"/>
        <v>-1.8117639217122885</v>
      </c>
      <c r="AF157" s="48">
        <f t="shared" si="291"/>
        <v>9.7092740186533119E-3</v>
      </c>
      <c r="AG157" s="48">
        <f t="shared" si="292"/>
        <v>5696.7183334015972</v>
      </c>
      <c r="AH157" s="33"/>
      <c r="AI157" s="48">
        <f t="shared" si="293"/>
        <v>-1.4472141225011457</v>
      </c>
      <c r="AJ157" s="48">
        <f t="shared" si="294"/>
        <v>2.1767486330840666E-2</v>
      </c>
      <c r="AK157" s="48">
        <f t="shared" si="295"/>
        <v>4476.6679544146009</v>
      </c>
      <c r="AL157" s="33"/>
      <c r="AM157" s="33"/>
      <c r="AN157" s="48">
        <f t="shared" si="296"/>
        <v>0.29429978644321997</v>
      </c>
      <c r="AO157" s="48">
        <f t="shared" si="297"/>
        <v>0.20886994229076328</v>
      </c>
      <c r="AP157" s="48">
        <f t="shared" si="298"/>
        <v>0.44346654820514497</v>
      </c>
      <c r="AQ157" s="48">
        <f t="shared" si="299"/>
        <v>5.3363723060871837E-2</v>
      </c>
      <c r="AR157" s="33"/>
      <c r="AS157" s="48"/>
      <c r="AT157" s="33">
        <f t="shared" si="300"/>
        <v>171296.42799620077</v>
      </c>
      <c r="AU157" s="33">
        <f t="shared" si="301"/>
        <v>180.61446378126479</v>
      </c>
      <c r="AV157" s="35">
        <f t="shared" si="302"/>
        <v>675.25924923737705</v>
      </c>
      <c r="AW157" s="33"/>
      <c r="AX157" s="35"/>
      <c r="AY157" s="33"/>
      <c r="AZ157" s="33"/>
      <c r="BA157" s="33"/>
      <c r="BB157" s="34"/>
      <c r="BC157" s="35"/>
      <c r="BD157" s="33"/>
      <c r="BE157" s="36"/>
      <c r="BG157" s="33"/>
      <c r="BH157" s="33"/>
      <c r="BI157" s="38"/>
    </row>
    <row r="158" spans="2:61" x14ac:dyDescent="0.55000000000000004">
      <c r="C158" s="135" t="s">
        <v>72</v>
      </c>
      <c r="D158" s="158" t="s">
        <v>248</v>
      </c>
      <c r="E158" s="135" t="s">
        <v>74</v>
      </c>
      <c r="F158" s="158" t="s">
        <v>389</v>
      </c>
      <c r="H158" s="32">
        <v>7070</v>
      </c>
      <c r="I158" s="33"/>
      <c r="J158" s="94">
        <f t="shared" si="282"/>
        <v>678.2426504033823</v>
      </c>
      <c r="K158" s="35"/>
      <c r="L158" s="23">
        <v>2.6139999999999999</v>
      </c>
      <c r="M158" s="23">
        <v>1.64</v>
      </c>
      <c r="N158" s="23">
        <v>3.4820000000000002</v>
      </c>
      <c r="O158" s="23">
        <v>0.41899999999999998</v>
      </c>
      <c r="P158" s="48"/>
      <c r="Q158" s="23">
        <v>2.2989999999999999</v>
      </c>
      <c r="R158" s="23">
        <v>0.51500000000000001</v>
      </c>
      <c r="S158" s="23">
        <v>0.11799999999999999</v>
      </c>
      <c r="T158" s="23">
        <v>0.104</v>
      </c>
      <c r="U158" s="48"/>
      <c r="V158" s="48">
        <f t="shared" si="283"/>
        <v>0.751603455307159</v>
      </c>
      <c r="W158" s="33">
        <f t="shared" si="284"/>
        <v>0.17357424764832174</v>
      </c>
      <c r="X158" s="48">
        <f t="shared" si="285"/>
        <v>3.9770410140780511E-2</v>
      </c>
      <c r="Y158" s="48">
        <f t="shared" si="286"/>
        <v>3.5051886903738755E-2</v>
      </c>
      <c r="Z158" s="48"/>
      <c r="AA158" s="48">
        <f t="shared" si="287"/>
        <v>-0.19877434321194451</v>
      </c>
      <c r="AB158" s="48">
        <f t="shared" si="288"/>
        <v>3.9325881099803641E-3</v>
      </c>
      <c r="AC158" s="48">
        <f t="shared" si="289"/>
        <v>245.85603415144877</v>
      </c>
      <c r="AD158" s="48"/>
      <c r="AE158" s="48">
        <f t="shared" si="290"/>
        <v>-1.813138221488326</v>
      </c>
      <c r="AF158" s="48">
        <f t="shared" si="291"/>
        <v>9.332532524041778E-3</v>
      </c>
      <c r="AG158" s="48">
        <f t="shared" si="292"/>
        <v>5690.3970127039438</v>
      </c>
      <c r="AH158" s="33"/>
      <c r="AI158" s="48">
        <f t="shared" si="293"/>
        <v>-1.4833000898143263</v>
      </c>
      <c r="AJ158" s="48">
        <f t="shared" si="294"/>
        <v>2.1796095204295773E-2</v>
      </c>
      <c r="AK158" s="48">
        <f t="shared" si="295"/>
        <v>4590.8812636441344</v>
      </c>
      <c r="AL158" s="33"/>
      <c r="AM158" s="33"/>
      <c r="AN158" s="48">
        <f t="shared" si="296"/>
        <v>0.29429978644321997</v>
      </c>
      <c r="AO158" s="48">
        <f t="shared" si="297"/>
        <v>0.20886994229076328</v>
      </c>
      <c r="AP158" s="48">
        <f t="shared" si="298"/>
        <v>0.44346654820514497</v>
      </c>
      <c r="AQ158" s="48">
        <f t="shared" si="299"/>
        <v>5.3363723060871837E-2</v>
      </c>
      <c r="AR158" s="33"/>
      <c r="AS158" s="48"/>
      <c r="AT158" s="33">
        <f t="shared" si="300"/>
        <v>171294.43937514944</v>
      </c>
      <c r="AU158" s="33">
        <f t="shared" si="301"/>
        <v>180.04599815073416</v>
      </c>
      <c r="AV158" s="35">
        <f t="shared" si="302"/>
        <v>678.2426504033823</v>
      </c>
      <c r="AW158" s="33"/>
      <c r="AX158" s="35"/>
      <c r="AY158" s="33"/>
      <c r="AZ158" s="33"/>
      <c r="BA158" s="33"/>
      <c r="BB158" s="34"/>
      <c r="BC158" s="35"/>
      <c r="BD158" s="33"/>
      <c r="BE158" s="36"/>
      <c r="BG158" s="33"/>
      <c r="BH158" s="33"/>
      <c r="BI158" s="38"/>
    </row>
    <row r="159" spans="2:61" x14ac:dyDescent="0.55000000000000004">
      <c r="C159" s="135" t="s">
        <v>72</v>
      </c>
      <c r="D159" s="158" t="s">
        <v>248</v>
      </c>
      <c r="E159" s="135" t="s">
        <v>75</v>
      </c>
      <c r="F159" s="158" t="s">
        <v>389</v>
      </c>
      <c r="H159" s="32">
        <v>7070</v>
      </c>
      <c r="I159" s="33"/>
      <c r="J159" s="94">
        <f t="shared" si="282"/>
        <v>679.52007971194394</v>
      </c>
      <c r="K159" s="35"/>
      <c r="L159" s="23">
        <v>2.6139999999999999</v>
      </c>
      <c r="M159" s="23">
        <v>1.64</v>
      </c>
      <c r="N159" s="23">
        <v>3.4820000000000002</v>
      </c>
      <c r="O159" s="23">
        <v>0.41899999999999998</v>
      </c>
      <c r="P159" s="48"/>
      <c r="Q159" s="23">
        <v>2.29</v>
      </c>
      <c r="R159" s="23">
        <v>0.51900000000000002</v>
      </c>
      <c r="S159" s="23">
        <v>0.11799999999999999</v>
      </c>
      <c r="T159" s="23">
        <v>9.9000000000000005E-2</v>
      </c>
      <c r="U159" s="48"/>
      <c r="V159" s="48">
        <f t="shared" si="283"/>
        <v>0.75112433638792131</v>
      </c>
      <c r="W159" s="33">
        <f t="shared" si="284"/>
        <v>0.17549792040036521</v>
      </c>
      <c r="X159" s="48">
        <f t="shared" si="285"/>
        <v>3.9901261285632164E-2</v>
      </c>
      <c r="Y159" s="48">
        <f t="shared" si="286"/>
        <v>3.3476481926081221E-2</v>
      </c>
      <c r="Z159" s="48"/>
      <c r="AA159" s="48">
        <f t="shared" si="287"/>
        <v>-0.20844059944344567</v>
      </c>
      <c r="AB159" s="48">
        <f t="shared" si="288"/>
        <v>3.9899823218389118E-3</v>
      </c>
      <c r="AC159" s="48">
        <f t="shared" si="289"/>
        <v>260.50711780320881</v>
      </c>
      <c r="AD159" s="48"/>
      <c r="AE159" s="48">
        <f t="shared" si="290"/>
        <v>-1.75856323938967</v>
      </c>
      <c r="AF159" s="48">
        <f t="shared" si="291"/>
        <v>9.1253217608647588E-3</v>
      </c>
      <c r="AG159" s="48">
        <f t="shared" si="292"/>
        <v>5598.6557994599461</v>
      </c>
      <c r="AH159" s="33"/>
      <c r="AI159" s="48">
        <f t="shared" si="293"/>
        <v>-1.5024125689552954</v>
      </c>
      <c r="AJ159" s="48">
        <f t="shared" si="294"/>
        <v>2.154892573935261E-2</v>
      </c>
      <c r="AK159" s="48">
        <f t="shared" si="295"/>
        <v>4651.5338119898024</v>
      </c>
      <c r="AL159" s="33"/>
      <c r="AM159" s="33"/>
      <c r="AN159" s="48">
        <f t="shared" si="296"/>
        <v>0.29429978644321997</v>
      </c>
      <c r="AO159" s="48">
        <f t="shared" si="297"/>
        <v>0.20886994229076328</v>
      </c>
      <c r="AP159" s="48">
        <f t="shared" si="298"/>
        <v>0.44346654820514497</v>
      </c>
      <c r="AQ159" s="48">
        <f t="shared" si="299"/>
        <v>5.3363723060871837E-2</v>
      </c>
      <c r="AR159" s="33"/>
      <c r="AS159" s="48"/>
      <c r="AT159" s="33">
        <f t="shared" si="300"/>
        <v>171186.17632108019</v>
      </c>
      <c r="AU159" s="33">
        <f t="shared" si="301"/>
        <v>179.69093389900652</v>
      </c>
      <c r="AV159" s="35">
        <f t="shared" si="302"/>
        <v>679.52007971194394</v>
      </c>
      <c r="AW159" s="33"/>
      <c r="AX159" s="35"/>
      <c r="AY159" s="33"/>
      <c r="AZ159" s="33"/>
      <c r="BA159" s="33"/>
      <c r="BB159" s="34"/>
      <c r="BC159" s="35"/>
      <c r="BD159" s="33"/>
      <c r="BE159" s="36"/>
      <c r="BG159" s="33"/>
      <c r="BH159" s="33"/>
      <c r="BI159" s="38"/>
    </row>
    <row r="160" spans="2:61" x14ac:dyDescent="0.55000000000000004">
      <c r="C160" s="135" t="s">
        <v>72</v>
      </c>
      <c r="D160" s="158" t="s">
        <v>248</v>
      </c>
      <c r="E160" s="135" t="s">
        <v>76</v>
      </c>
      <c r="F160" s="158" t="s">
        <v>389</v>
      </c>
      <c r="H160" s="32">
        <v>7070</v>
      </c>
      <c r="I160" s="33"/>
      <c r="J160" s="94">
        <f t="shared" si="282"/>
        <v>676.83735544496653</v>
      </c>
      <c r="K160" s="35"/>
      <c r="L160" s="23">
        <v>2.6139999999999999</v>
      </c>
      <c r="M160" s="23">
        <v>1.64</v>
      </c>
      <c r="N160" s="23">
        <v>3.4820000000000002</v>
      </c>
      <c r="O160" s="23">
        <v>0.41899999999999998</v>
      </c>
      <c r="P160" s="48"/>
      <c r="Q160" s="23">
        <v>2.3079999999999998</v>
      </c>
      <c r="R160" s="23">
        <v>0.51100000000000001</v>
      </c>
      <c r="S160" s="23">
        <v>0.123</v>
      </c>
      <c r="T160" s="23">
        <v>9.5000000000000001E-2</v>
      </c>
      <c r="U160" s="48"/>
      <c r="V160" s="48">
        <f t="shared" si="283"/>
        <v>0.75436019085101214</v>
      </c>
      <c r="W160" s="33">
        <f t="shared" si="284"/>
        <v>0.17218373453378982</v>
      </c>
      <c r="X160" s="48">
        <f t="shared" si="285"/>
        <v>4.1445399897565842E-2</v>
      </c>
      <c r="Y160" s="48">
        <f t="shared" si="286"/>
        <v>3.2010674717632158E-2</v>
      </c>
      <c r="Z160" s="48"/>
      <c r="AA160" s="48">
        <f t="shared" si="287"/>
        <v>-0.20233553741569116</v>
      </c>
      <c r="AB160" s="48">
        <f t="shared" si="288"/>
        <v>3.9008670729508187E-3</v>
      </c>
      <c r="AC160" s="48">
        <f t="shared" si="289"/>
        <v>246.13715391908673</v>
      </c>
      <c r="AD160" s="48"/>
      <c r="AE160" s="48">
        <f t="shared" si="290"/>
        <v>-1.8005661067333576</v>
      </c>
      <c r="AF160" s="48">
        <f t="shared" si="291"/>
        <v>9.3950022947801737E-3</v>
      </c>
      <c r="AG160" s="48">
        <f t="shared" si="292"/>
        <v>5699.0125852649526</v>
      </c>
      <c r="AH160" s="33"/>
      <c r="AI160" s="48">
        <f t="shared" si="293"/>
        <v>-1.4850116511378588</v>
      </c>
      <c r="AJ160" s="48">
        <f t="shared" si="294"/>
        <v>2.1921601252440751E-2</v>
      </c>
      <c r="AK160" s="48">
        <f t="shared" si="295"/>
        <v>4563.0943645809575</v>
      </c>
      <c r="AL160" s="33"/>
      <c r="AM160" s="33"/>
      <c r="AN160" s="48">
        <f t="shared" si="296"/>
        <v>0.29429978644321997</v>
      </c>
      <c r="AO160" s="48">
        <f t="shared" si="297"/>
        <v>0.20886994229076328</v>
      </c>
      <c r="AP160" s="48">
        <f t="shared" si="298"/>
        <v>0.44346654820514497</v>
      </c>
      <c r="AQ160" s="48">
        <f t="shared" si="299"/>
        <v>5.3363723060871837E-2</v>
      </c>
      <c r="AR160" s="33"/>
      <c r="AS160" s="48"/>
      <c r="AT160" s="33">
        <f t="shared" si="300"/>
        <v>171303.43975695374</v>
      </c>
      <c r="AU160" s="33">
        <f t="shared" si="301"/>
        <v>180.3218103642196</v>
      </c>
      <c r="AV160" s="35">
        <f t="shared" si="302"/>
        <v>676.83735544496653</v>
      </c>
      <c r="AW160" s="33"/>
      <c r="AX160" s="35"/>
      <c r="AY160" s="33"/>
      <c r="AZ160" s="33"/>
      <c r="BA160" s="33"/>
      <c r="BB160" s="34"/>
      <c r="BC160" s="35"/>
      <c r="BD160" s="33"/>
      <c r="BE160" s="36"/>
      <c r="BG160" s="33"/>
      <c r="BH160" s="33"/>
      <c r="BI160" s="38"/>
    </row>
    <row r="161" spans="2:61" x14ac:dyDescent="0.55000000000000004">
      <c r="C161" s="135" t="s">
        <v>72</v>
      </c>
      <c r="D161" s="158" t="s">
        <v>248</v>
      </c>
      <c r="E161" s="135" t="s">
        <v>77</v>
      </c>
      <c r="F161" s="158" t="s">
        <v>389</v>
      </c>
      <c r="H161" s="32">
        <v>7070</v>
      </c>
      <c r="I161" s="33"/>
      <c r="J161" s="94">
        <f t="shared" si="282"/>
        <v>675.45966748204717</v>
      </c>
      <c r="K161" s="35"/>
      <c r="L161" s="23">
        <v>2.6139999999999999</v>
      </c>
      <c r="M161" s="23">
        <v>1.64</v>
      </c>
      <c r="N161" s="23">
        <v>3.4820000000000002</v>
      </c>
      <c r="O161" s="23">
        <v>0.41899999999999998</v>
      </c>
      <c r="P161" s="48"/>
      <c r="Q161" s="23">
        <v>2.3079999999999998</v>
      </c>
      <c r="R161" s="23">
        <v>0.50600000000000001</v>
      </c>
      <c r="S161" s="23">
        <v>0.11799999999999999</v>
      </c>
      <c r="T161" s="23">
        <v>9.5000000000000001E-2</v>
      </c>
      <c r="U161" s="48"/>
      <c r="V161" s="48">
        <f t="shared" si="283"/>
        <v>0.75691063507519207</v>
      </c>
      <c r="W161" s="33">
        <f t="shared" si="284"/>
        <v>0.17107540841718061</v>
      </c>
      <c r="X161" s="48">
        <f t="shared" si="285"/>
        <v>3.9895055717840536E-2</v>
      </c>
      <c r="Y161" s="48">
        <f t="shared" si="286"/>
        <v>3.2118900789786874E-2</v>
      </c>
      <c r="Z161" s="48"/>
      <c r="AA161" s="48">
        <f t="shared" si="287"/>
        <v>-0.20299900354999734</v>
      </c>
      <c r="AB161" s="48">
        <f t="shared" si="288"/>
        <v>3.8509371706399085E-3</v>
      </c>
      <c r="AC161" s="48">
        <f t="shared" si="289"/>
        <v>252.70945228422434</v>
      </c>
      <c r="AD161" s="48"/>
      <c r="AE161" s="48">
        <f t="shared" si="290"/>
        <v>-1.8111077146944552</v>
      </c>
      <c r="AF161" s="48">
        <f t="shared" si="291"/>
        <v>9.6756674295939062E-3</v>
      </c>
      <c r="AG161" s="48">
        <f t="shared" si="292"/>
        <v>5696.851178080783</v>
      </c>
      <c r="AH161" s="33"/>
      <c r="AI161" s="48">
        <f t="shared" si="293"/>
        <v>-1.4509642029902092</v>
      </c>
      <c r="AJ161" s="48">
        <f t="shared" si="294"/>
        <v>2.1779689476528145E-2</v>
      </c>
      <c r="AK161" s="48">
        <f t="shared" si="295"/>
        <v>4486.1753232110468</v>
      </c>
      <c r="AL161" s="33"/>
      <c r="AM161" s="33"/>
      <c r="AN161" s="48">
        <f t="shared" si="296"/>
        <v>0.29429978644321997</v>
      </c>
      <c r="AO161" s="48">
        <f t="shared" si="297"/>
        <v>0.20886994229076328</v>
      </c>
      <c r="AP161" s="48">
        <f t="shared" si="298"/>
        <v>0.44346654820514497</v>
      </c>
      <c r="AQ161" s="48">
        <f t="shared" si="299"/>
        <v>5.3363723060871837E-2</v>
      </c>
      <c r="AR161" s="33"/>
      <c r="AS161" s="48"/>
      <c r="AT161" s="33">
        <f t="shared" si="300"/>
        <v>171297.04335831688</v>
      </c>
      <c r="AU161" s="33">
        <f t="shared" si="301"/>
        <v>180.57695301904431</v>
      </c>
      <c r="AV161" s="35">
        <f t="shared" si="302"/>
        <v>675.45966748204717</v>
      </c>
      <c r="AW161" s="33"/>
      <c r="AX161" s="35"/>
      <c r="AY161" s="33"/>
      <c r="AZ161" s="33"/>
      <c r="BA161" s="33"/>
      <c r="BB161" s="34"/>
      <c r="BC161" s="35"/>
      <c r="BD161" s="33"/>
      <c r="BE161" s="36"/>
      <c r="BG161" s="33"/>
      <c r="BH161" s="33"/>
      <c r="BI161" s="38"/>
    </row>
    <row r="162" spans="2:61" x14ac:dyDescent="0.55000000000000004">
      <c r="C162" s="135" t="s">
        <v>72</v>
      </c>
      <c r="D162" s="158" t="s">
        <v>248</v>
      </c>
      <c r="E162" s="135" t="s">
        <v>78</v>
      </c>
      <c r="F162" s="158" t="s">
        <v>389</v>
      </c>
      <c r="H162" s="32">
        <v>7070</v>
      </c>
      <c r="I162" s="33"/>
      <c r="J162" s="94">
        <f t="shared" si="282"/>
        <v>674.08075259608813</v>
      </c>
      <c r="K162" s="35"/>
      <c r="L162" s="23">
        <v>2.6139999999999999</v>
      </c>
      <c r="M162" s="23">
        <v>1.64</v>
      </c>
      <c r="N162" s="23">
        <v>3.4820000000000002</v>
      </c>
      <c r="O162" s="23">
        <v>0.41899999999999998</v>
      </c>
      <c r="P162" s="48"/>
      <c r="Q162" s="23">
        <v>2.339</v>
      </c>
      <c r="R162" s="23">
        <v>0.50800000000000001</v>
      </c>
      <c r="S162" s="23">
        <v>0.114</v>
      </c>
      <c r="T162" s="23">
        <v>9.5000000000000001E-2</v>
      </c>
      <c r="U162" s="48"/>
      <c r="V162" s="48">
        <f t="shared" si="283"/>
        <v>0.75986576596792177</v>
      </c>
      <c r="W162" s="33">
        <f t="shared" si="284"/>
        <v>0.17013694684560071</v>
      </c>
      <c r="X162" s="48">
        <f t="shared" si="285"/>
        <v>3.8180338465351342E-2</v>
      </c>
      <c r="Y162" s="48">
        <f t="shared" si="286"/>
        <v>3.1816948721126122E-2</v>
      </c>
      <c r="Z162" s="48"/>
      <c r="AA162" s="48">
        <f t="shared" si="287"/>
        <v>-0.20575665566592868</v>
      </c>
      <c r="AB162" s="48">
        <f t="shared" si="288"/>
        <v>3.8031401450910043E-3</v>
      </c>
      <c r="AC162" s="48">
        <f t="shared" si="289"/>
        <v>263.08595426070752</v>
      </c>
      <c r="AD162" s="48"/>
      <c r="AE162" s="48">
        <f t="shared" si="290"/>
        <v>-1.8117813747253089</v>
      </c>
      <c r="AF162" s="48">
        <f t="shared" si="291"/>
        <v>9.9636608788243926E-3</v>
      </c>
      <c r="AG162" s="48">
        <f t="shared" si="292"/>
        <v>5675.9104933724848</v>
      </c>
      <c r="AH162" s="33"/>
      <c r="AI162" s="48">
        <f t="shared" si="293"/>
        <v>-1.4151287236973173</v>
      </c>
      <c r="AJ162" s="48">
        <f t="shared" si="294"/>
        <v>2.1567607077515472E-2</v>
      </c>
      <c r="AK162" s="48">
        <f t="shared" si="295"/>
        <v>4407.6557579150685</v>
      </c>
      <c r="AL162" s="33"/>
      <c r="AM162" s="33"/>
      <c r="AN162" s="48">
        <f t="shared" si="296"/>
        <v>0.29429978644321997</v>
      </c>
      <c r="AO162" s="48">
        <f t="shared" si="297"/>
        <v>0.20886994229076328</v>
      </c>
      <c r="AP162" s="48">
        <f t="shared" si="298"/>
        <v>0.44346654820514497</v>
      </c>
      <c r="AQ162" s="48">
        <f t="shared" si="299"/>
        <v>5.3363723060871837E-2</v>
      </c>
      <c r="AR162" s="33"/>
      <c r="AS162" s="48"/>
      <c r="AT162" s="33">
        <f t="shared" si="300"/>
        <v>171268.1002102888</v>
      </c>
      <c r="AU162" s="33">
        <f t="shared" si="301"/>
        <v>180.80926927350279</v>
      </c>
      <c r="AV162" s="35">
        <f t="shared" si="302"/>
        <v>674.08075259608813</v>
      </c>
      <c r="AW162" s="33"/>
      <c r="AX162" s="35"/>
      <c r="AY162" s="33"/>
      <c r="AZ162" s="33"/>
      <c r="BA162" s="33"/>
      <c r="BB162" s="34"/>
      <c r="BC162" s="35"/>
      <c r="BD162" s="33"/>
      <c r="BE162" s="36"/>
      <c r="BG162" s="33"/>
      <c r="BH162" s="33"/>
      <c r="BI162" s="38"/>
    </row>
    <row r="163" spans="2:61" x14ac:dyDescent="0.55000000000000004">
      <c r="C163" s="135" t="s">
        <v>72</v>
      </c>
      <c r="D163" s="158" t="s">
        <v>248</v>
      </c>
      <c r="E163" s="135" t="s">
        <v>79</v>
      </c>
      <c r="F163" s="158" t="s">
        <v>389</v>
      </c>
      <c r="H163" s="32">
        <v>7070</v>
      </c>
      <c r="I163" s="33"/>
      <c r="J163" s="94">
        <f t="shared" si="282"/>
        <v>668.38249706480872</v>
      </c>
      <c r="K163" s="35"/>
      <c r="L163" s="23">
        <v>2.6139999999999999</v>
      </c>
      <c r="M163" s="23">
        <v>1.64</v>
      </c>
      <c r="N163" s="23">
        <v>3.4820000000000002</v>
      </c>
      <c r="O163" s="23">
        <v>0.41899999999999998</v>
      </c>
      <c r="P163" s="48"/>
      <c r="Q163" s="23">
        <v>2.327</v>
      </c>
      <c r="R163" s="23">
        <v>0.47799999999999998</v>
      </c>
      <c r="S163" s="23">
        <v>0.128</v>
      </c>
      <c r="T163" s="23">
        <v>9.9000000000000005E-2</v>
      </c>
      <c r="U163" s="48"/>
      <c r="V163" s="48">
        <f t="shared" si="283"/>
        <v>0.76200041185744316</v>
      </c>
      <c r="W163" s="33">
        <f t="shared" si="284"/>
        <v>0.16136709664133628</v>
      </c>
      <c r="X163" s="48">
        <f t="shared" si="285"/>
        <v>4.3211272740776241E-2</v>
      </c>
      <c r="Y163" s="48">
        <f t="shared" si="286"/>
        <v>3.3421218760444127E-2</v>
      </c>
      <c r="Z163" s="48"/>
      <c r="AA163" s="48">
        <f t="shared" si="287"/>
        <v>-0.16930795410715929</v>
      </c>
      <c r="AB163" s="48">
        <f t="shared" si="288"/>
        <v>3.5908207520748397E-3</v>
      </c>
      <c r="AC163" s="48">
        <f t="shared" si="289"/>
        <v>190.39835379844916</v>
      </c>
      <c r="AD163" s="48"/>
      <c r="AE163" s="48">
        <f t="shared" si="290"/>
        <v>-2.0152309028438582</v>
      </c>
      <c r="AF163" s="48">
        <f t="shared" si="291"/>
        <v>1.0489974507936164E-2</v>
      </c>
      <c r="AG163" s="48">
        <f t="shared" si="292"/>
        <v>6102.3172534651248</v>
      </c>
      <c r="AH163" s="33"/>
      <c r="AI163" s="48">
        <f t="shared" si="293"/>
        <v>-1.4007693449418723</v>
      </c>
      <c r="AJ163" s="48">
        <f t="shared" si="294"/>
        <v>2.314947512473816E-2</v>
      </c>
      <c r="AK163" s="48">
        <f t="shared" si="295"/>
        <v>4247.414520223062</v>
      </c>
      <c r="AL163" s="33"/>
      <c r="AM163" s="33"/>
      <c r="AN163" s="48">
        <f t="shared" si="296"/>
        <v>0.29429978644321997</v>
      </c>
      <c r="AO163" s="48">
        <f t="shared" si="297"/>
        <v>0.20886994229076328</v>
      </c>
      <c r="AP163" s="48">
        <f t="shared" si="298"/>
        <v>0.44346654820514497</v>
      </c>
      <c r="AQ163" s="48">
        <f t="shared" si="299"/>
        <v>5.3363723060871837E-2</v>
      </c>
      <c r="AR163" s="33"/>
      <c r="AS163" s="48"/>
      <c r="AT163" s="33">
        <f t="shared" si="300"/>
        <v>171772.41670631015</v>
      </c>
      <c r="AU163" s="33">
        <f t="shared" si="301"/>
        <v>182.43917999835804</v>
      </c>
      <c r="AV163" s="35">
        <f t="shared" si="302"/>
        <v>668.38249706480872</v>
      </c>
      <c r="AW163" s="33"/>
      <c r="AX163" s="35"/>
      <c r="AY163" s="33"/>
      <c r="AZ163" s="33"/>
      <c r="BA163" s="33"/>
      <c r="BB163" s="34"/>
      <c r="BC163" s="35"/>
      <c r="BD163" s="33"/>
      <c r="BE163" s="36"/>
      <c r="BG163" s="33"/>
      <c r="BH163" s="33"/>
      <c r="BI163" s="38"/>
    </row>
    <row r="164" spans="2:61" x14ac:dyDescent="0.55000000000000004">
      <c r="C164" s="135" t="s">
        <v>72</v>
      </c>
      <c r="D164" s="158" t="s">
        <v>248</v>
      </c>
      <c r="E164" s="135" t="s">
        <v>80</v>
      </c>
      <c r="F164" s="158" t="s">
        <v>389</v>
      </c>
      <c r="H164" s="32">
        <v>7070</v>
      </c>
      <c r="I164" s="33"/>
      <c r="J164" s="94">
        <f t="shared" si="282"/>
        <v>664.99321927376377</v>
      </c>
      <c r="K164" s="35"/>
      <c r="L164" s="23">
        <v>2.6139999999999999</v>
      </c>
      <c r="M164" s="23">
        <v>1.64</v>
      </c>
      <c r="N164" s="23">
        <v>3.4820000000000002</v>
      </c>
      <c r="O164" s="23">
        <v>0.41899999999999998</v>
      </c>
      <c r="P164" s="48"/>
      <c r="Q164" s="23">
        <v>2.3460000000000001</v>
      </c>
      <c r="R164" s="23">
        <v>0.46800000000000003</v>
      </c>
      <c r="S164" s="23">
        <v>0.123</v>
      </c>
      <c r="T164" s="23">
        <v>0.109</v>
      </c>
      <c r="U164" s="48"/>
      <c r="V164" s="48">
        <f t="shared" si="283"/>
        <v>0.76475490822080772</v>
      </c>
      <c r="W164" s="33">
        <f t="shared" si="284"/>
        <v>0.15727814707523138</v>
      </c>
      <c r="X164" s="48">
        <f t="shared" si="285"/>
        <v>4.1335923269772347E-2</v>
      </c>
      <c r="Y164" s="48">
        <f t="shared" si="286"/>
        <v>3.6631021434188504E-2</v>
      </c>
      <c r="Z164" s="48"/>
      <c r="AA164" s="48">
        <f t="shared" si="287"/>
        <v>-0.15431280595065316</v>
      </c>
      <c r="AB164" s="48">
        <f t="shared" si="288"/>
        <v>3.4559805116273689E-3</v>
      </c>
      <c r="AC164" s="48">
        <f t="shared" si="289"/>
        <v>173.3751115530099</v>
      </c>
      <c r="AD164" s="48"/>
      <c r="AE164" s="48">
        <f t="shared" si="290"/>
        <v>-2.1239842966253089</v>
      </c>
      <c r="AF164" s="48">
        <f t="shared" si="291"/>
        <v>1.1119015837043791E-2</v>
      </c>
      <c r="AG164" s="48">
        <f t="shared" si="292"/>
        <v>6262.6774462927733</v>
      </c>
      <c r="AH164" s="33"/>
      <c r="AI164" s="48">
        <f t="shared" si="293"/>
        <v>-1.3407564868205935</v>
      </c>
      <c r="AJ164" s="48">
        <f t="shared" si="294"/>
        <v>2.3455202120246536E-2</v>
      </c>
      <c r="AK164" s="48">
        <f t="shared" si="295"/>
        <v>4085.7433526734453</v>
      </c>
      <c r="AL164" s="33"/>
      <c r="AM164" s="33"/>
      <c r="AN164" s="48">
        <f t="shared" si="296"/>
        <v>0.29429978644321997</v>
      </c>
      <c r="AO164" s="48">
        <f t="shared" si="297"/>
        <v>0.20886994229076328</v>
      </c>
      <c r="AP164" s="48">
        <f t="shared" si="298"/>
        <v>0.44346654820514497</v>
      </c>
      <c r="AQ164" s="48">
        <f t="shared" si="299"/>
        <v>5.3363723060871837E-2</v>
      </c>
      <c r="AR164" s="33"/>
      <c r="AS164" s="48"/>
      <c r="AT164" s="33">
        <f t="shared" si="300"/>
        <v>171955.20078407999</v>
      </c>
      <c r="AU164" s="33">
        <f t="shared" si="301"/>
        <v>183.2931233220383</v>
      </c>
      <c r="AV164" s="35">
        <f t="shared" si="302"/>
        <v>664.99321927376377</v>
      </c>
      <c r="AW164" s="33"/>
      <c r="AX164" s="35"/>
      <c r="AY164" s="33"/>
      <c r="AZ164" s="33"/>
      <c r="BA164" s="33"/>
      <c r="BB164" s="34"/>
      <c r="BC164" s="35"/>
      <c r="BD164" s="33"/>
      <c r="BE164" s="36"/>
      <c r="BG164" s="33"/>
      <c r="BH164" s="33"/>
      <c r="BI164" s="38"/>
    </row>
    <row r="165" spans="2:61" x14ac:dyDescent="0.55000000000000004">
      <c r="C165" s="135" t="s">
        <v>72</v>
      </c>
      <c r="D165" s="158" t="s">
        <v>248</v>
      </c>
      <c r="E165" s="135" t="s">
        <v>81</v>
      </c>
      <c r="F165" s="158" t="s">
        <v>389</v>
      </c>
      <c r="H165" s="32">
        <v>7070</v>
      </c>
      <c r="I165" s="33"/>
      <c r="J165" s="94">
        <f t="shared" si="282"/>
        <v>659.88707090790058</v>
      </c>
      <c r="K165" s="35"/>
      <c r="L165" s="23">
        <v>2.6139999999999999</v>
      </c>
      <c r="M165" s="23">
        <v>1.64</v>
      </c>
      <c r="N165" s="23">
        <v>3.4820000000000002</v>
      </c>
      <c r="O165" s="23">
        <v>0.41899999999999998</v>
      </c>
      <c r="P165" s="48"/>
      <c r="Q165" s="23">
        <v>2.3420000000000001</v>
      </c>
      <c r="R165" s="23">
        <v>0.44800000000000001</v>
      </c>
      <c r="S165" s="23">
        <v>0.114</v>
      </c>
      <c r="T165" s="23">
        <v>0.11</v>
      </c>
      <c r="U165" s="48"/>
      <c r="V165" s="48">
        <f t="shared" si="283"/>
        <v>0.77171896974596943</v>
      </c>
      <c r="W165" s="33">
        <f t="shared" si="284"/>
        <v>0.15218735350268708</v>
      </c>
      <c r="X165" s="48">
        <f t="shared" si="285"/>
        <v>3.8726246203808767E-2</v>
      </c>
      <c r="Y165" s="48">
        <f t="shared" si="286"/>
        <v>3.7367430547534775E-2</v>
      </c>
      <c r="Z165" s="48"/>
      <c r="AA165" s="48">
        <f t="shared" si="287"/>
        <v>-0.14665886139023609</v>
      </c>
      <c r="AB165" s="48">
        <f t="shared" si="288"/>
        <v>3.2790499180660234E-3</v>
      </c>
      <c r="AC165" s="48">
        <f t="shared" si="289"/>
        <v>170.25094166090554</v>
      </c>
      <c r="AD165" s="48"/>
      <c r="AE165" s="48">
        <f t="shared" si="290"/>
        <v>-2.2112785869904843</v>
      </c>
      <c r="AF165" s="48">
        <f t="shared" si="291"/>
        <v>1.2027926983050026E-2</v>
      </c>
      <c r="AG165" s="48">
        <f t="shared" si="292"/>
        <v>6381.276515782828</v>
      </c>
      <c r="AH165" s="33"/>
      <c r="AI165" s="48">
        <f t="shared" si="293"/>
        <v>-1.2548103552362613</v>
      </c>
      <c r="AJ165" s="48">
        <f t="shared" si="294"/>
        <v>2.3574639587402139E-2</v>
      </c>
      <c r="AK165" s="48">
        <f t="shared" si="295"/>
        <v>3856.2145286514092</v>
      </c>
      <c r="AL165" s="33"/>
      <c r="AM165" s="33"/>
      <c r="AN165" s="48">
        <f t="shared" si="296"/>
        <v>0.29429978644321997</v>
      </c>
      <c r="AO165" s="48">
        <f t="shared" si="297"/>
        <v>0.20886994229076328</v>
      </c>
      <c r="AP165" s="48">
        <f t="shared" si="298"/>
        <v>0.44346654820514497</v>
      </c>
      <c r="AQ165" s="48">
        <f t="shared" si="299"/>
        <v>5.3363723060871837E-2</v>
      </c>
      <c r="AR165" s="33"/>
      <c r="AS165" s="48"/>
      <c r="AT165" s="33">
        <f t="shared" si="300"/>
        <v>172084.60092456089</v>
      </c>
      <c r="AU165" s="33">
        <f t="shared" si="301"/>
        <v>184.43490220288069</v>
      </c>
      <c r="AV165" s="35">
        <f t="shared" si="302"/>
        <v>659.88707090790058</v>
      </c>
      <c r="AW165" s="33"/>
      <c r="AX165" s="35"/>
      <c r="AY165" s="33"/>
      <c r="AZ165" s="33"/>
      <c r="BA165" s="33"/>
      <c r="BB165" s="34"/>
      <c r="BC165" s="35"/>
      <c r="BD165" s="33"/>
      <c r="BE165" s="36"/>
      <c r="BG165" s="33"/>
      <c r="BH165" s="33"/>
      <c r="BI165" s="38"/>
    </row>
    <row r="166" spans="2:61" s="88" customFormat="1" x14ac:dyDescent="0.55000000000000004">
      <c r="B166" s="156"/>
      <c r="C166" s="137"/>
      <c r="D166" s="141"/>
      <c r="E166" s="135"/>
      <c r="F166" s="141"/>
      <c r="H166" s="168"/>
      <c r="I166" s="107" t="s">
        <v>59</v>
      </c>
      <c r="J166" s="153">
        <f>AVERAGE(J156:J165)</f>
        <v>672.95261293376825</v>
      </c>
      <c r="K166" s="104"/>
      <c r="L166" s="169"/>
      <c r="M166" s="169"/>
      <c r="N166" s="169"/>
      <c r="O166" s="169"/>
      <c r="P166" s="105"/>
      <c r="Q166" s="169"/>
      <c r="R166" s="169"/>
      <c r="S166" s="169"/>
      <c r="T166" s="169"/>
      <c r="U166" s="105"/>
      <c r="V166" s="105"/>
      <c r="W166" s="103"/>
      <c r="X166" s="105"/>
      <c r="Y166" s="105"/>
      <c r="Z166" s="105"/>
      <c r="AA166" s="105"/>
      <c r="AB166" s="105"/>
      <c r="AC166" s="105"/>
      <c r="AD166" s="105"/>
      <c r="AE166" s="105"/>
      <c r="AF166" s="105"/>
      <c r="AG166" s="105"/>
      <c r="AH166" s="103"/>
      <c r="AI166" s="105"/>
      <c r="AJ166" s="105"/>
      <c r="AK166" s="105"/>
      <c r="AL166" s="103"/>
      <c r="AM166" s="103"/>
      <c r="AN166" s="105"/>
      <c r="AO166" s="105"/>
      <c r="AP166" s="105"/>
      <c r="AQ166" s="105"/>
      <c r="AR166" s="103"/>
      <c r="AS166" s="105"/>
      <c r="AT166" s="103"/>
      <c r="AU166" s="103"/>
      <c r="AV166" s="104"/>
      <c r="AW166" s="103"/>
      <c r="AX166" s="104"/>
      <c r="AY166" s="103"/>
      <c r="AZ166" s="103"/>
      <c r="BA166" s="103"/>
      <c r="BB166" s="182"/>
      <c r="BC166" s="104"/>
      <c r="BD166" s="103"/>
      <c r="BE166" s="107"/>
      <c r="BG166" s="103"/>
      <c r="BH166" s="103"/>
      <c r="BI166" s="108"/>
    </row>
    <row r="167" spans="2:61" s="46" customFormat="1" x14ac:dyDescent="0.55000000000000004">
      <c r="B167" s="175"/>
      <c r="C167" s="75"/>
      <c r="D167" s="145"/>
      <c r="F167" s="145"/>
      <c r="H167" s="40"/>
      <c r="I167" s="144"/>
      <c r="J167" s="149"/>
      <c r="K167" s="43"/>
      <c r="L167" s="96"/>
      <c r="M167" s="96"/>
      <c r="N167" s="96"/>
      <c r="O167" s="96"/>
      <c r="P167" s="52"/>
      <c r="Q167" s="96"/>
      <c r="R167" s="96"/>
      <c r="S167" s="96"/>
      <c r="T167" s="96"/>
      <c r="U167" s="52"/>
      <c r="V167" s="52"/>
      <c r="W167" s="41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  <c r="AH167" s="41"/>
      <c r="AI167" s="52"/>
      <c r="AJ167" s="52"/>
      <c r="AK167" s="52"/>
      <c r="AL167" s="41"/>
      <c r="AM167" s="41"/>
      <c r="AN167" s="52"/>
      <c r="AO167" s="52"/>
      <c r="AP167" s="52"/>
      <c r="AQ167" s="52"/>
      <c r="AR167" s="41"/>
      <c r="AS167" s="52"/>
      <c r="AT167" s="41"/>
      <c r="AU167" s="41"/>
      <c r="AV167" s="43"/>
      <c r="AW167" s="41"/>
      <c r="AX167" s="43"/>
      <c r="AY167" s="41"/>
      <c r="AZ167" s="41"/>
      <c r="BA167" s="41"/>
      <c r="BB167" s="42"/>
      <c r="BC167" s="43"/>
      <c r="BD167" s="41"/>
      <c r="BE167" s="44"/>
      <c r="BG167" s="41"/>
      <c r="BH167" s="41"/>
      <c r="BI167" s="45"/>
    </row>
  </sheetData>
  <mergeCells count="2">
    <mergeCell ref="C3:D3"/>
    <mergeCell ref="E3:F3"/>
  </mergeCells>
  <phoneticPr fontId="7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ED7D1-4B69-477F-879A-0BC53D71D149}">
  <dimension ref="A1:AG164"/>
  <sheetViews>
    <sheetView tabSelected="1" workbookViewId="0">
      <pane ySplit="4" topLeftCell="A5" activePane="bottomLeft" state="frozen"/>
      <selection pane="bottomLeft"/>
    </sheetView>
  </sheetViews>
  <sheetFormatPr defaultRowHeight="14.4" x14ac:dyDescent="0.55000000000000004"/>
  <cols>
    <col min="1" max="1" width="16.62890625" style="31" customWidth="1"/>
    <col min="2" max="2" width="19.5234375" style="11" bestFit="1" customWidth="1"/>
    <col min="3" max="3" width="28.3671875" style="31" customWidth="1"/>
    <col min="4" max="4" width="29.7890625" style="31" bestFit="1" customWidth="1"/>
    <col min="5" max="13" width="8.83984375" style="31"/>
    <col min="14" max="14" width="40.68359375" style="31" bestFit="1" customWidth="1"/>
    <col min="15" max="15" width="24.89453125" style="31" bestFit="1" customWidth="1"/>
    <col min="16" max="24" width="8.83984375" style="31"/>
    <col min="25" max="25" width="8.83984375" style="54"/>
    <col min="26" max="26" width="9.578125" style="31" customWidth="1"/>
    <col min="27" max="32" width="8.83984375" style="31"/>
    <col min="33" max="33" width="8.83984375" style="58"/>
    <col min="34" max="16384" width="8.83984375" style="31"/>
  </cols>
  <sheetData>
    <row r="1" spans="1:33" s="7" customFormat="1" x14ac:dyDescent="0.55000000000000004">
      <c r="A1" s="7" t="s">
        <v>20</v>
      </c>
    </row>
    <row r="2" spans="1:33" s="5" customFormat="1" x14ac:dyDescent="0.55000000000000004">
      <c r="B2" s="162"/>
    </row>
    <row r="3" spans="1:33" s="17" customFormat="1" x14ac:dyDescent="0.55000000000000004">
      <c r="B3" s="163"/>
      <c r="C3" s="195" t="s">
        <v>0</v>
      </c>
      <c r="D3" s="195"/>
      <c r="E3" s="164"/>
      <c r="F3" s="164"/>
      <c r="G3" s="164"/>
      <c r="H3" s="164"/>
      <c r="N3" s="195" t="s">
        <v>1</v>
      </c>
      <c r="O3" s="195"/>
      <c r="P3" s="164"/>
      <c r="Q3" s="164"/>
      <c r="R3" s="164"/>
      <c r="V3" s="17" t="s">
        <v>2</v>
      </c>
      <c r="X3" s="164" t="s">
        <v>21</v>
      </c>
      <c r="Y3" s="165"/>
      <c r="Z3" s="69" t="s">
        <v>22</v>
      </c>
    </row>
    <row r="4" spans="1:33" s="2" customFormat="1" x14ac:dyDescent="0.55000000000000004">
      <c r="A4" s="2" t="s">
        <v>69</v>
      </c>
      <c r="B4" s="14" t="s">
        <v>19</v>
      </c>
      <c r="C4" s="4" t="s">
        <v>229</v>
      </c>
      <c r="D4" s="4" t="s">
        <v>18</v>
      </c>
      <c r="E4" s="1" t="s">
        <v>3</v>
      </c>
      <c r="F4" s="1" t="s">
        <v>4</v>
      </c>
      <c r="G4" s="1" t="s">
        <v>5</v>
      </c>
      <c r="H4" s="1" t="s">
        <v>6</v>
      </c>
      <c r="I4" s="2" t="s">
        <v>7</v>
      </c>
      <c r="J4" s="2" t="s">
        <v>8</v>
      </c>
      <c r="K4" s="2" t="s">
        <v>9</v>
      </c>
      <c r="L4" s="2" t="s">
        <v>10</v>
      </c>
      <c r="N4" s="4" t="s">
        <v>229</v>
      </c>
      <c r="O4" s="4" t="s">
        <v>18</v>
      </c>
      <c r="P4" s="1" t="s">
        <v>11</v>
      </c>
      <c r="Q4" s="1" t="s">
        <v>5</v>
      </c>
      <c r="R4" s="1" t="s">
        <v>12</v>
      </c>
      <c r="S4" s="2" t="s">
        <v>13</v>
      </c>
      <c r="U4" s="2" t="s">
        <v>14</v>
      </c>
      <c r="V4" s="2" t="s">
        <v>15</v>
      </c>
      <c r="W4" s="2" t="s">
        <v>16</v>
      </c>
      <c r="X4" s="1" t="s">
        <v>83</v>
      </c>
      <c r="Y4" s="4"/>
      <c r="Z4" s="3" t="s">
        <v>17</v>
      </c>
      <c r="AG4" s="16"/>
    </row>
    <row r="5" spans="1:33" x14ac:dyDescent="0.55000000000000004">
      <c r="C5" s="54"/>
      <c r="D5" s="54"/>
      <c r="E5" s="55"/>
      <c r="F5" s="55"/>
      <c r="G5" s="55"/>
      <c r="H5" s="55"/>
      <c r="N5" s="54"/>
      <c r="O5" s="54"/>
      <c r="P5" s="55"/>
      <c r="Q5" s="55"/>
      <c r="R5" s="55"/>
      <c r="X5" s="55"/>
      <c r="Z5" s="56"/>
    </row>
    <row r="6" spans="1:33" s="82" customFormat="1" x14ac:dyDescent="0.55000000000000004">
      <c r="A6" s="82" t="s">
        <v>151</v>
      </c>
      <c r="B6" s="84" t="s">
        <v>204</v>
      </c>
      <c r="C6" s="130" t="s">
        <v>218</v>
      </c>
      <c r="D6" s="156" t="s">
        <v>362</v>
      </c>
      <c r="E6" s="83">
        <v>0.30199999999999999</v>
      </c>
      <c r="F6" s="83">
        <v>0.129</v>
      </c>
      <c r="G6" s="83">
        <v>0.248</v>
      </c>
      <c r="H6" s="83">
        <v>2.3420000000000001</v>
      </c>
      <c r="I6" s="82">
        <v>9.9966898378020516E-2</v>
      </c>
      <c r="J6" s="82">
        <v>0.77523998675935124</v>
      </c>
      <c r="K6" s="82">
        <v>8.2092022509102955E-2</v>
      </c>
      <c r="L6" s="82">
        <v>4.2701092353525323E-2</v>
      </c>
      <c r="N6" s="139" t="s">
        <v>251</v>
      </c>
      <c r="O6" s="157" t="s">
        <v>252</v>
      </c>
      <c r="P6" s="83">
        <v>0.75900000000000001</v>
      </c>
      <c r="Q6" s="83">
        <v>0.217</v>
      </c>
      <c r="R6" s="83">
        <v>0.01</v>
      </c>
      <c r="S6" s="82">
        <v>0.21997208356005582</v>
      </c>
      <c r="U6" s="82">
        <v>5.19756777762772E-2</v>
      </c>
      <c r="V6" s="82">
        <v>1</v>
      </c>
      <c r="W6" s="82">
        <v>892</v>
      </c>
      <c r="X6" s="83">
        <v>619</v>
      </c>
      <c r="Y6" s="130"/>
      <c r="Z6" s="161">
        <v>0.76005805035649343</v>
      </c>
    </row>
    <row r="7" spans="1:33" s="82" customFormat="1" x14ac:dyDescent="0.55000000000000004">
      <c r="C7" s="130" t="s">
        <v>219</v>
      </c>
      <c r="D7" s="156" t="s">
        <v>239</v>
      </c>
      <c r="E7" s="83">
        <v>0.33100000000000002</v>
      </c>
      <c r="F7" s="83">
        <v>0.11899999999999999</v>
      </c>
      <c r="G7" s="83">
        <v>0.23699999999999999</v>
      </c>
      <c r="H7" s="83">
        <v>2.3519999999999999</v>
      </c>
      <c r="I7" s="82">
        <v>0.10891740704179008</v>
      </c>
      <c r="J7" s="82">
        <v>0.77393879565646595</v>
      </c>
      <c r="K7" s="82">
        <v>7.7986179664363275E-2</v>
      </c>
      <c r="L7" s="82">
        <v>3.9157617637380716E-2</v>
      </c>
      <c r="N7" s="139" t="s">
        <v>251</v>
      </c>
      <c r="O7" s="157" t="s">
        <v>252</v>
      </c>
      <c r="P7" s="83">
        <v>0.75900000000000001</v>
      </c>
      <c r="Q7" s="83">
        <v>0.217</v>
      </c>
      <c r="R7" s="83">
        <v>0.01</v>
      </c>
      <c r="S7" s="82">
        <v>0.21997208356005582</v>
      </c>
      <c r="U7" s="82">
        <v>4.456051818183826E-2</v>
      </c>
      <c r="V7" s="82">
        <v>1</v>
      </c>
      <c r="W7" s="82">
        <v>892</v>
      </c>
      <c r="X7" s="83">
        <v>619</v>
      </c>
      <c r="Y7" s="130"/>
      <c r="Z7" s="161">
        <v>0.74548110193180517</v>
      </c>
    </row>
    <row r="8" spans="1:33" s="82" customFormat="1" x14ac:dyDescent="0.55000000000000004">
      <c r="C8" s="130" t="s">
        <v>220</v>
      </c>
      <c r="D8" s="156" t="s">
        <v>240</v>
      </c>
      <c r="E8" s="83">
        <v>0.35</v>
      </c>
      <c r="F8" s="83">
        <v>0.109</v>
      </c>
      <c r="G8" s="83">
        <v>0.23200000000000001</v>
      </c>
      <c r="H8" s="83">
        <v>2.359</v>
      </c>
      <c r="I8" s="82">
        <v>0.11475409836065574</v>
      </c>
      <c r="J8" s="82">
        <v>0.77344262295081967</v>
      </c>
      <c r="K8" s="82">
        <v>7.6065573770491807E-2</v>
      </c>
      <c r="L8" s="82">
        <v>3.5737704918032791E-2</v>
      </c>
      <c r="N8" s="139" t="s">
        <v>251</v>
      </c>
      <c r="O8" s="157" t="s">
        <v>252</v>
      </c>
      <c r="P8" s="83">
        <v>0.75900000000000001</v>
      </c>
      <c r="Q8" s="83">
        <v>0.217</v>
      </c>
      <c r="R8" s="83">
        <v>0.01</v>
      </c>
      <c r="S8" s="82">
        <v>0.21997208356005582</v>
      </c>
      <c r="U8" s="82">
        <v>4.1348687756970884E-2</v>
      </c>
      <c r="V8" s="82">
        <v>1</v>
      </c>
      <c r="W8" s="82">
        <v>892</v>
      </c>
      <c r="X8" s="83">
        <v>619</v>
      </c>
      <c r="Y8" s="130"/>
      <c r="Z8" s="161">
        <v>0.73839682803959994</v>
      </c>
    </row>
    <row r="9" spans="1:33" s="82" customFormat="1" x14ac:dyDescent="0.55000000000000004">
      <c r="C9" s="130" t="s">
        <v>221</v>
      </c>
      <c r="D9" s="156" t="s">
        <v>241</v>
      </c>
      <c r="E9" s="83">
        <v>0.37</v>
      </c>
      <c r="F9" s="83">
        <v>9.9000000000000005E-2</v>
      </c>
      <c r="G9" s="83">
        <v>0.217</v>
      </c>
      <c r="H9" s="83">
        <v>2.3460000000000001</v>
      </c>
      <c r="I9" s="82">
        <v>0.12203166226912929</v>
      </c>
      <c r="J9" s="82">
        <v>0.7737467018469657</v>
      </c>
      <c r="K9" s="82">
        <v>7.1569920844327173E-2</v>
      </c>
      <c r="L9" s="82">
        <v>3.2651715039577839E-2</v>
      </c>
      <c r="N9" s="139" t="s">
        <v>251</v>
      </c>
      <c r="O9" s="157" t="s">
        <v>252</v>
      </c>
      <c r="P9" s="83">
        <v>0.75900000000000001</v>
      </c>
      <c r="Q9" s="83">
        <v>0.217</v>
      </c>
      <c r="R9" s="83">
        <v>0.01</v>
      </c>
      <c r="S9" s="82">
        <v>0.21997208356005582</v>
      </c>
      <c r="U9" s="82">
        <v>3.4442043059574365E-2</v>
      </c>
      <c r="V9" s="82">
        <v>1</v>
      </c>
      <c r="W9" s="82">
        <v>892</v>
      </c>
      <c r="X9" s="83">
        <v>619</v>
      </c>
      <c r="Y9" s="130"/>
      <c r="Z9" s="161">
        <v>0.72108920168866109</v>
      </c>
    </row>
    <row r="10" spans="1:33" s="82" customFormat="1" x14ac:dyDescent="0.55000000000000004">
      <c r="C10" s="130" t="s">
        <v>222</v>
      </c>
      <c r="D10" s="156" t="s">
        <v>242</v>
      </c>
      <c r="E10" s="83">
        <v>0.378</v>
      </c>
      <c r="F10" s="83">
        <v>9.2999999999999999E-2</v>
      </c>
      <c r="G10" s="83">
        <v>0.21099999999999999</v>
      </c>
      <c r="H10" s="83">
        <v>2.351</v>
      </c>
      <c r="I10" s="82">
        <v>0.12462908011869436</v>
      </c>
      <c r="J10" s="82">
        <v>0.7751401252884933</v>
      </c>
      <c r="K10" s="82">
        <v>6.956808440487966E-2</v>
      </c>
      <c r="L10" s="82">
        <v>3.0662710187932742E-2</v>
      </c>
      <c r="N10" s="139" t="s">
        <v>251</v>
      </c>
      <c r="O10" s="157" t="s">
        <v>252</v>
      </c>
      <c r="P10" s="83">
        <v>0.75900000000000001</v>
      </c>
      <c r="Q10" s="83">
        <v>0.217</v>
      </c>
      <c r="R10" s="83">
        <v>0.01</v>
      </c>
      <c r="S10" s="82">
        <v>0.21997208356005582</v>
      </c>
      <c r="U10" s="82">
        <v>3.1632056643059653E-2</v>
      </c>
      <c r="V10" s="82">
        <v>1</v>
      </c>
      <c r="W10" s="82">
        <v>892</v>
      </c>
      <c r="X10" s="83">
        <v>619</v>
      </c>
      <c r="Y10" s="130"/>
      <c r="Z10" s="161">
        <v>0.71302957418919999</v>
      </c>
    </row>
    <row r="11" spans="1:33" s="82" customFormat="1" x14ac:dyDescent="0.55000000000000004">
      <c r="C11" s="130" t="s">
        <v>223</v>
      </c>
      <c r="D11" s="156" t="s">
        <v>243</v>
      </c>
      <c r="E11" s="83">
        <v>0.39500000000000002</v>
      </c>
      <c r="F11" s="83">
        <v>8.4000000000000005E-2</v>
      </c>
      <c r="G11" s="83">
        <v>0.20200000000000001</v>
      </c>
      <c r="H11" s="83">
        <v>2.3580000000000001</v>
      </c>
      <c r="I11" s="82">
        <v>0.12997696610727213</v>
      </c>
      <c r="J11" s="82">
        <v>0.77591312931885492</v>
      </c>
      <c r="K11" s="82">
        <v>6.6469233300427769E-2</v>
      </c>
      <c r="L11" s="82">
        <v>2.7640671273445213E-2</v>
      </c>
      <c r="N11" s="139" t="s">
        <v>251</v>
      </c>
      <c r="O11" s="157" t="s">
        <v>252</v>
      </c>
      <c r="P11" s="83">
        <v>0.75900000000000001</v>
      </c>
      <c r="Q11" s="83">
        <v>0.217</v>
      </c>
      <c r="R11" s="83">
        <v>0.01</v>
      </c>
      <c r="S11" s="82">
        <v>0.21997208356005582</v>
      </c>
      <c r="U11" s="82">
        <v>2.7590482966536347E-2</v>
      </c>
      <c r="V11" s="82">
        <v>1</v>
      </c>
      <c r="W11" s="82">
        <v>892</v>
      </c>
      <c r="X11" s="83">
        <v>619</v>
      </c>
      <c r="Y11" s="130"/>
      <c r="Z11" s="161">
        <v>0.70008406866699679</v>
      </c>
    </row>
    <row r="12" spans="1:33" s="82" customFormat="1" x14ac:dyDescent="0.55000000000000004">
      <c r="C12" s="130" t="s">
        <v>224</v>
      </c>
      <c r="D12" s="156" t="s">
        <v>244</v>
      </c>
      <c r="E12" s="83">
        <v>0.40500000000000003</v>
      </c>
      <c r="F12" s="83">
        <v>7.8E-2</v>
      </c>
      <c r="G12" s="83">
        <v>0.2</v>
      </c>
      <c r="H12" s="83">
        <v>2.4</v>
      </c>
      <c r="I12" s="82">
        <v>0.13136555303276029</v>
      </c>
      <c r="J12" s="82">
        <v>0.77846253649043129</v>
      </c>
      <c r="K12" s="82">
        <v>6.4871878040869288E-2</v>
      </c>
      <c r="L12" s="82">
        <v>2.5300032435939018E-2</v>
      </c>
      <c r="N12" s="139" t="s">
        <v>251</v>
      </c>
      <c r="O12" s="157" t="s">
        <v>252</v>
      </c>
      <c r="P12" s="83">
        <v>0.75900000000000001</v>
      </c>
      <c r="Q12" s="83">
        <v>0.217</v>
      </c>
      <c r="R12" s="83">
        <v>0.01</v>
      </c>
      <c r="S12" s="82">
        <v>0.21997208356005582</v>
      </c>
      <c r="U12" s="82">
        <v>2.5648779707747885E-2</v>
      </c>
      <c r="V12" s="82">
        <v>1</v>
      </c>
      <c r="W12" s="82">
        <v>892</v>
      </c>
      <c r="X12" s="83">
        <v>619</v>
      </c>
      <c r="Y12" s="130"/>
      <c r="Z12" s="161">
        <v>0.69317334587681734</v>
      </c>
    </row>
    <row r="13" spans="1:33" s="82" customFormat="1" x14ac:dyDescent="0.55000000000000004">
      <c r="C13" s="130" t="s">
        <v>225</v>
      </c>
      <c r="D13" s="156" t="s">
        <v>245</v>
      </c>
      <c r="E13" s="83">
        <v>0.41899999999999998</v>
      </c>
      <c r="F13" s="83">
        <v>7.2999999999999995E-2</v>
      </c>
      <c r="G13" s="83">
        <v>0.2</v>
      </c>
      <c r="H13" s="83">
        <v>2.4</v>
      </c>
      <c r="I13" s="82">
        <v>0.13551099611901682</v>
      </c>
      <c r="J13" s="82">
        <v>0.77619663648124193</v>
      </c>
      <c r="K13" s="82">
        <v>6.4683053040103508E-2</v>
      </c>
      <c r="L13" s="82">
        <v>2.3609314359637777E-2</v>
      </c>
      <c r="N13" s="139" t="s">
        <v>251</v>
      </c>
      <c r="O13" s="157" t="s">
        <v>252</v>
      </c>
      <c r="P13" s="83">
        <v>0.75900000000000001</v>
      </c>
      <c r="Q13" s="83">
        <v>0.217</v>
      </c>
      <c r="R13" s="83">
        <v>0.01</v>
      </c>
      <c r="S13" s="82">
        <v>0.21997208356005582</v>
      </c>
      <c r="U13" s="82">
        <v>2.5425460408720311E-2</v>
      </c>
      <c r="V13" s="82">
        <v>1</v>
      </c>
      <c r="W13" s="82">
        <v>892</v>
      </c>
      <c r="X13" s="83">
        <v>619</v>
      </c>
      <c r="Y13" s="130"/>
      <c r="Z13" s="161">
        <v>0.69234519954142526</v>
      </c>
    </row>
    <row r="14" spans="1:33" s="82" customFormat="1" x14ac:dyDescent="0.55000000000000004">
      <c r="C14" s="130" t="s">
        <v>226</v>
      </c>
      <c r="D14" s="156" t="s">
        <v>246</v>
      </c>
      <c r="E14" s="83">
        <v>0.41899999999999998</v>
      </c>
      <c r="F14" s="83">
        <v>6.8000000000000005E-2</v>
      </c>
      <c r="G14" s="83">
        <v>0.19500000000000001</v>
      </c>
      <c r="H14" s="83">
        <v>2.41</v>
      </c>
      <c r="I14" s="82">
        <v>0.13551099611901682</v>
      </c>
      <c r="J14" s="82">
        <v>0.77943078913324715</v>
      </c>
      <c r="K14" s="82">
        <v>6.3065976714100899E-2</v>
      </c>
      <c r="L14" s="82">
        <v>2.1992238033635189E-2</v>
      </c>
      <c r="N14" s="139" t="s">
        <v>251</v>
      </c>
      <c r="O14" s="157" t="s">
        <v>252</v>
      </c>
      <c r="P14" s="83">
        <v>0.75900000000000001</v>
      </c>
      <c r="Q14" s="83">
        <v>0.217</v>
      </c>
      <c r="R14" s="83">
        <v>0.01</v>
      </c>
      <c r="S14" s="82">
        <v>0.21997208356005582</v>
      </c>
      <c r="U14" s="82">
        <v>2.3565826343513726E-2</v>
      </c>
      <c r="V14" s="82">
        <v>1</v>
      </c>
      <c r="W14" s="82">
        <v>892</v>
      </c>
      <c r="X14" s="83">
        <v>619</v>
      </c>
      <c r="Y14" s="130"/>
      <c r="Z14" s="161">
        <v>0.68515241029308827</v>
      </c>
    </row>
    <row r="15" spans="1:33" s="82" customFormat="1" x14ac:dyDescent="0.55000000000000004">
      <c r="C15" s="130" t="s">
        <v>227</v>
      </c>
      <c r="D15" s="156" t="s">
        <v>247</v>
      </c>
      <c r="E15" s="83">
        <v>0.42799999999999999</v>
      </c>
      <c r="F15" s="83">
        <v>6.8000000000000005E-2</v>
      </c>
      <c r="G15" s="83">
        <v>0.189</v>
      </c>
      <c r="H15" s="83">
        <v>2.4</v>
      </c>
      <c r="I15" s="82">
        <v>0.13873581847649918</v>
      </c>
      <c r="J15" s="82">
        <v>0.77795786061588323</v>
      </c>
      <c r="K15" s="82">
        <v>6.1264181523500813E-2</v>
      </c>
      <c r="L15" s="82">
        <v>2.2042139384116696E-2</v>
      </c>
      <c r="N15" s="139" t="s">
        <v>251</v>
      </c>
      <c r="O15" s="157" t="s">
        <v>252</v>
      </c>
      <c r="P15" s="83">
        <v>0.75900000000000001</v>
      </c>
      <c r="Q15" s="83">
        <v>0.217</v>
      </c>
      <c r="R15" s="83">
        <v>0.01</v>
      </c>
      <c r="S15" s="82">
        <v>0.21997208356005582</v>
      </c>
      <c r="U15" s="82">
        <v>2.1603156016961826E-2</v>
      </c>
      <c r="V15" s="82">
        <v>1</v>
      </c>
      <c r="W15" s="82">
        <v>892</v>
      </c>
      <c r="X15" s="83">
        <v>619</v>
      </c>
      <c r="Y15" s="130"/>
      <c r="Z15" s="161">
        <v>0.67691746776737116</v>
      </c>
    </row>
    <row r="16" spans="1:33" s="82" customFormat="1" x14ac:dyDescent="0.55000000000000004">
      <c r="C16" s="130" t="s">
        <v>228</v>
      </c>
      <c r="D16" s="156" t="s">
        <v>250</v>
      </c>
      <c r="E16" s="83">
        <v>0.434</v>
      </c>
      <c r="F16" s="83">
        <v>6.3E-2</v>
      </c>
      <c r="G16" s="83">
        <v>0.185</v>
      </c>
      <c r="H16" s="83">
        <v>2.4119999999999999</v>
      </c>
      <c r="I16" s="82">
        <v>0.14027149321266968</v>
      </c>
      <c r="J16" s="82">
        <v>0.77957336780866193</v>
      </c>
      <c r="K16" s="82">
        <v>5.9793148028442149E-2</v>
      </c>
      <c r="L16" s="82">
        <v>2.0361990950226245E-2</v>
      </c>
      <c r="N16" s="139" t="s">
        <v>251</v>
      </c>
      <c r="O16" s="157" t="s">
        <v>252</v>
      </c>
      <c r="P16" s="83">
        <v>0.75900000000000001</v>
      </c>
      <c r="Q16" s="83">
        <v>0.217</v>
      </c>
      <c r="R16" s="83">
        <v>0.01</v>
      </c>
      <c r="S16" s="82">
        <v>0.21997208356005582</v>
      </c>
      <c r="U16" s="82">
        <v>2.008406192742674E-2</v>
      </c>
      <c r="V16" s="82">
        <v>1</v>
      </c>
      <c r="W16" s="82">
        <v>892</v>
      </c>
      <c r="X16" s="83">
        <v>619</v>
      </c>
      <c r="Y16" s="130"/>
      <c r="Z16" s="161">
        <v>0.67001262046283883</v>
      </c>
    </row>
    <row r="17" spans="1:33" s="82" customFormat="1" x14ac:dyDescent="0.55000000000000004">
      <c r="E17" s="83"/>
      <c r="F17" s="83"/>
      <c r="G17" s="83"/>
      <c r="H17" s="83"/>
      <c r="N17" s="148"/>
      <c r="O17" s="148"/>
      <c r="P17" s="83"/>
      <c r="Q17" s="83"/>
      <c r="R17" s="83"/>
      <c r="X17" s="83"/>
      <c r="Y17" s="82" t="s">
        <v>59</v>
      </c>
      <c r="Z17" s="80">
        <v>0.70870362443766333</v>
      </c>
    </row>
    <row r="18" spans="1:33" x14ac:dyDescent="0.55000000000000004">
      <c r="E18" s="55"/>
      <c r="F18" s="55"/>
      <c r="G18" s="55"/>
      <c r="H18" s="55"/>
      <c r="P18" s="55"/>
      <c r="Q18" s="55"/>
      <c r="R18" s="55"/>
      <c r="X18" s="55"/>
      <c r="Z18" s="59"/>
    </row>
    <row r="19" spans="1:33" customFormat="1" x14ac:dyDescent="0.55000000000000004">
      <c r="A19" s="82"/>
      <c r="B19" s="11" t="s">
        <v>84</v>
      </c>
      <c r="C19" t="s">
        <v>153</v>
      </c>
      <c r="D19" s="156" t="s">
        <v>253</v>
      </c>
      <c r="E19" s="159">
        <v>0.5</v>
      </c>
      <c r="F19" s="159">
        <v>2.9000000000000001E-2</v>
      </c>
      <c r="G19" s="159">
        <v>0.22600000000000001</v>
      </c>
      <c r="H19" s="159">
        <v>2.3199999999999998</v>
      </c>
      <c r="I19">
        <f t="shared" ref="I19:I22" si="0">E19/(SUM(E19:H19))</f>
        <v>0.16260162601626019</v>
      </c>
      <c r="J19">
        <f t="shared" ref="J19:J22" si="1">H19/(SUM(E19:H19))</f>
        <v>0.7544715447154472</v>
      </c>
      <c r="K19">
        <f t="shared" ref="K19:K22" si="2">G19/(SUM(E19:H19))</f>
        <v>7.3495934959349599E-2</v>
      </c>
      <c r="L19">
        <f t="shared" ref="L19:L22" si="3">F19/(SUM(E19:H19))</f>
        <v>9.4308943089430903E-3</v>
      </c>
      <c r="N19" t="s">
        <v>160</v>
      </c>
      <c r="O19" s="47" t="s">
        <v>254</v>
      </c>
      <c r="P19" s="159">
        <v>0.79200000000000004</v>
      </c>
      <c r="Q19" s="159">
        <v>0.18099999999999999</v>
      </c>
      <c r="R19" s="159">
        <v>0.01</v>
      </c>
      <c r="S19">
        <f t="shared" ref="S19:S22" si="4">Q19/(SUM(P19:R19))</f>
        <v>0.18413021363173954</v>
      </c>
      <c r="U19">
        <f t="shared" ref="U19:U22" si="5">(K19)^3/(S19)^3</f>
        <v>6.3593801361143718E-2</v>
      </c>
      <c r="V19">
        <v>1</v>
      </c>
      <c r="W19">
        <v>933</v>
      </c>
      <c r="X19" s="83">
        <f t="shared" ref="X19:X22" si="6">W19-273</f>
        <v>660</v>
      </c>
      <c r="Y19" s="130"/>
      <c r="Z19" s="161">
        <f t="shared" ref="Z19:Z22" si="7">((0.00259-0.000313*V19)*W19)+((LN(U19))*(0.171-0.0763*V19))-0.991</f>
        <v>0.87251984053808573</v>
      </c>
      <c r="AA19" s="130"/>
      <c r="AG19" s="82"/>
    </row>
    <row r="20" spans="1:33" customFormat="1" x14ac:dyDescent="0.55000000000000004">
      <c r="A20" s="82"/>
      <c r="C20" t="s">
        <v>153</v>
      </c>
      <c r="D20" s="156" t="s">
        <v>253</v>
      </c>
      <c r="E20" s="159">
        <v>0.5</v>
      </c>
      <c r="F20" s="159">
        <v>2.9000000000000001E-2</v>
      </c>
      <c r="G20" s="159">
        <v>0.22600000000000001</v>
      </c>
      <c r="H20" s="159">
        <v>2.3199999999999998</v>
      </c>
      <c r="I20">
        <f t="shared" si="0"/>
        <v>0.16260162601626019</v>
      </c>
      <c r="J20">
        <f t="shared" si="1"/>
        <v>0.7544715447154472</v>
      </c>
      <c r="K20">
        <f t="shared" si="2"/>
        <v>7.3495934959349599E-2</v>
      </c>
      <c r="L20">
        <f t="shared" si="3"/>
        <v>9.4308943089430903E-3</v>
      </c>
      <c r="N20" t="s">
        <v>161</v>
      </c>
      <c r="O20" s="47" t="s">
        <v>254</v>
      </c>
      <c r="P20" s="159">
        <v>0.72599999999999998</v>
      </c>
      <c r="Q20" s="159">
        <v>0.253</v>
      </c>
      <c r="R20" s="159">
        <v>0.01</v>
      </c>
      <c r="S20">
        <f t="shared" si="4"/>
        <v>0.2558139534883721</v>
      </c>
      <c r="U20">
        <f t="shared" si="5"/>
        <v>2.371467997850692E-2</v>
      </c>
      <c r="V20">
        <v>1</v>
      </c>
      <c r="W20">
        <v>933</v>
      </c>
      <c r="X20" s="83">
        <f t="shared" si="6"/>
        <v>660</v>
      </c>
      <c r="Y20" s="130"/>
      <c r="Z20" s="161">
        <f t="shared" si="7"/>
        <v>0.77910570195342077</v>
      </c>
      <c r="AA20" s="130"/>
      <c r="AG20" s="82"/>
    </row>
    <row r="21" spans="1:33" customFormat="1" x14ac:dyDescent="0.55000000000000004">
      <c r="A21" s="82"/>
      <c r="C21" t="s">
        <v>153</v>
      </c>
      <c r="D21" s="156" t="s">
        <v>253</v>
      </c>
      <c r="E21" s="159">
        <v>0.5</v>
      </c>
      <c r="F21" s="159">
        <v>2.9000000000000001E-2</v>
      </c>
      <c r="G21" s="159">
        <v>0.22600000000000001</v>
      </c>
      <c r="H21" s="159">
        <v>2.3199999999999998</v>
      </c>
      <c r="I21">
        <f t="shared" si="0"/>
        <v>0.16260162601626019</v>
      </c>
      <c r="J21">
        <f t="shared" si="1"/>
        <v>0.7544715447154472</v>
      </c>
      <c r="K21">
        <f t="shared" si="2"/>
        <v>7.3495934959349599E-2</v>
      </c>
      <c r="L21">
        <f t="shared" si="3"/>
        <v>9.4308943089430903E-3</v>
      </c>
      <c r="N21" t="s">
        <v>162</v>
      </c>
      <c r="O21" s="11" t="s">
        <v>255</v>
      </c>
      <c r="P21" s="159">
        <v>0.72</v>
      </c>
      <c r="Q21" s="159">
        <v>0.25600000000000001</v>
      </c>
      <c r="R21" s="159">
        <v>6.0000000000000001E-3</v>
      </c>
      <c r="S21">
        <f t="shared" si="4"/>
        <v>0.26069246435845217</v>
      </c>
      <c r="U21">
        <f t="shared" si="5"/>
        <v>2.2408073716705761E-2</v>
      </c>
      <c r="V21">
        <v>1</v>
      </c>
      <c r="W21">
        <v>941</v>
      </c>
      <c r="X21" s="83">
        <f t="shared" si="6"/>
        <v>668</v>
      </c>
      <c r="Y21" s="130"/>
      <c r="Z21" s="161">
        <f t="shared" si="7"/>
        <v>0.79195477481375665</v>
      </c>
      <c r="AA21" s="130"/>
      <c r="AG21" s="82"/>
    </row>
    <row r="22" spans="1:33" customFormat="1" x14ac:dyDescent="0.55000000000000004">
      <c r="A22" s="82"/>
      <c r="C22" t="s">
        <v>153</v>
      </c>
      <c r="D22" s="156" t="s">
        <v>253</v>
      </c>
      <c r="E22" s="159">
        <v>0.5</v>
      </c>
      <c r="F22" s="159">
        <v>2.9000000000000001E-2</v>
      </c>
      <c r="G22" s="159">
        <v>0.22600000000000001</v>
      </c>
      <c r="H22" s="159">
        <v>2.3199999999999998</v>
      </c>
      <c r="I22">
        <f t="shared" si="0"/>
        <v>0.16260162601626019</v>
      </c>
      <c r="J22">
        <f t="shared" si="1"/>
        <v>0.7544715447154472</v>
      </c>
      <c r="K22">
        <f t="shared" si="2"/>
        <v>7.3495934959349599E-2</v>
      </c>
      <c r="L22">
        <f t="shared" si="3"/>
        <v>9.4308943089430903E-3</v>
      </c>
      <c r="N22" t="s">
        <v>163</v>
      </c>
      <c r="O22" s="11" t="s">
        <v>255</v>
      </c>
      <c r="P22" s="159">
        <v>0.71799999999999997</v>
      </c>
      <c r="Q22" s="159">
        <v>0.26200000000000001</v>
      </c>
      <c r="R22" s="159">
        <v>6.0000000000000001E-3</v>
      </c>
      <c r="S22">
        <f t="shared" si="4"/>
        <v>0.26572008113590267</v>
      </c>
      <c r="U22">
        <f t="shared" si="5"/>
        <v>2.1160056742978738E-2</v>
      </c>
      <c r="V22">
        <v>1</v>
      </c>
      <c r="W22">
        <v>941</v>
      </c>
      <c r="X22" s="83">
        <f t="shared" si="6"/>
        <v>668</v>
      </c>
      <c r="Y22" s="130"/>
      <c r="Z22" s="161">
        <f t="shared" si="7"/>
        <v>0.78652789291097769</v>
      </c>
      <c r="AA22" s="130"/>
      <c r="AG22" s="82"/>
    </row>
    <row r="23" spans="1:33" s="82" customFormat="1" x14ac:dyDescent="0.55000000000000004">
      <c r="E23" s="83"/>
      <c r="F23" s="83"/>
      <c r="G23" s="83"/>
      <c r="H23" s="83"/>
      <c r="P23" s="83"/>
      <c r="Q23" s="83"/>
      <c r="R23" s="83"/>
      <c r="X23" s="83"/>
      <c r="Y23" s="130" t="s">
        <v>59</v>
      </c>
      <c r="Z23" s="80">
        <f>AVERAGE(Z19:Z22)</f>
        <v>0.80752705255406021</v>
      </c>
    </row>
    <row r="24" spans="1:33" s="85" customFormat="1" x14ac:dyDescent="0.55000000000000004">
      <c r="E24" s="167"/>
      <c r="F24" s="167"/>
      <c r="G24" s="167"/>
      <c r="H24" s="167"/>
      <c r="P24" s="167"/>
      <c r="Q24" s="167"/>
      <c r="R24" s="167"/>
      <c r="X24" s="167"/>
      <c r="Y24" s="160"/>
      <c r="Z24" s="166"/>
    </row>
    <row r="25" spans="1:33" x14ac:dyDescent="0.55000000000000004">
      <c r="E25" s="55"/>
      <c r="F25" s="55"/>
      <c r="G25" s="55"/>
      <c r="H25" s="55"/>
      <c r="P25" s="55"/>
      <c r="Q25" s="55"/>
      <c r="R25" s="55"/>
      <c r="X25" s="55"/>
      <c r="Z25" s="59"/>
    </row>
    <row r="26" spans="1:33" customFormat="1" x14ac:dyDescent="0.55000000000000004">
      <c r="A26" t="s">
        <v>175</v>
      </c>
      <c r="B26" s="11" t="s">
        <v>60</v>
      </c>
      <c r="C26" t="s">
        <v>164</v>
      </c>
      <c r="D26" s="156" t="s">
        <v>362</v>
      </c>
      <c r="E26" s="159">
        <v>0.4</v>
      </c>
      <c r="F26" s="159">
        <v>0.11899999999999999</v>
      </c>
      <c r="G26" s="159">
        <v>0.17599999999999999</v>
      </c>
      <c r="H26" s="159">
        <v>2.3359999999999999</v>
      </c>
      <c r="I26">
        <f t="shared" ref="I26:I36" si="8">E26/(SUM(E26:H26))</f>
        <v>0.13196964698119434</v>
      </c>
      <c r="J26">
        <f t="shared" ref="J26:J36" si="9">H26/(SUM(E26:H26))</f>
        <v>0.77070273837017489</v>
      </c>
      <c r="K26">
        <f t="shared" ref="K26:K36" si="10">G26/(SUM(E26:H26))</f>
        <v>5.8066644671725502E-2</v>
      </c>
      <c r="L26">
        <f t="shared" ref="L26:L36" si="11">F26/(SUM(E26:H26))</f>
        <v>3.9260969976905313E-2</v>
      </c>
      <c r="N26" t="s">
        <v>279</v>
      </c>
      <c r="O26" s="11" t="s">
        <v>280</v>
      </c>
      <c r="P26" s="159">
        <v>0.71799999999999997</v>
      </c>
      <c r="Q26" s="159">
        <v>0.255</v>
      </c>
      <c r="R26" s="159">
        <v>6.0000000000000001E-3</v>
      </c>
      <c r="S26">
        <f t="shared" ref="S26:S36" si="12">Q26/(SUM(P26:R26))</f>
        <v>0.26046986721144028</v>
      </c>
      <c r="U26">
        <f t="shared" ref="U26:U36" si="13">(K26)^3/(S26)^3</f>
        <v>1.1079182810557694E-2</v>
      </c>
      <c r="V26">
        <v>1</v>
      </c>
      <c r="W26">
        <v>906</v>
      </c>
      <c r="X26" s="159">
        <f>W26-273</f>
        <v>633</v>
      </c>
      <c r="Y26" s="9"/>
      <c r="Z26" s="161">
        <f t="shared" ref="Z26:Z36" si="14">((0.00259-0.000313*V26)*W26)+((LN(U26))*(0.171-0.0763*V26))-0.991</f>
        <v>0.64555750758162589</v>
      </c>
      <c r="AA26" s="82"/>
      <c r="AG26" s="82"/>
    </row>
    <row r="27" spans="1:33" customFormat="1" x14ac:dyDescent="0.55000000000000004">
      <c r="C27" t="s">
        <v>165</v>
      </c>
      <c r="D27" s="156" t="s">
        <v>239</v>
      </c>
      <c r="E27" s="159">
        <v>0.41899999999999998</v>
      </c>
      <c r="F27" s="159">
        <v>0.1</v>
      </c>
      <c r="G27" s="159">
        <v>0.16600000000000001</v>
      </c>
      <c r="H27" s="159">
        <v>2.335</v>
      </c>
      <c r="I27">
        <f t="shared" si="8"/>
        <v>0.13874172185430464</v>
      </c>
      <c r="J27">
        <f t="shared" si="9"/>
        <v>0.77317880794701987</v>
      </c>
      <c r="K27">
        <f t="shared" si="10"/>
        <v>5.4966887417218543E-2</v>
      </c>
      <c r="L27">
        <f t="shared" si="11"/>
        <v>3.3112582781456956E-2</v>
      </c>
      <c r="N27" t="s">
        <v>279</v>
      </c>
      <c r="O27" s="11" t="s">
        <v>280</v>
      </c>
      <c r="P27" s="159">
        <v>0.71799999999999997</v>
      </c>
      <c r="Q27" s="159">
        <v>0.255</v>
      </c>
      <c r="R27" s="159">
        <v>6.0000000000000001E-3</v>
      </c>
      <c r="S27">
        <f t="shared" si="12"/>
        <v>0.26046986721144028</v>
      </c>
      <c r="U27">
        <f t="shared" si="13"/>
        <v>9.3979032422674327E-3</v>
      </c>
      <c r="V27">
        <v>1</v>
      </c>
      <c r="W27">
        <v>906</v>
      </c>
      <c r="X27" s="159">
        <f t="shared" ref="X27:X36" si="15">W27-273</f>
        <v>633</v>
      </c>
      <c r="Y27" s="9"/>
      <c r="Z27" s="161">
        <f t="shared" si="14"/>
        <v>0.62997165657969389</v>
      </c>
      <c r="AA27" s="82"/>
      <c r="AG27" s="82"/>
    </row>
    <row r="28" spans="1:33" customFormat="1" x14ac:dyDescent="0.55000000000000004">
      <c r="C28" t="s">
        <v>166</v>
      </c>
      <c r="D28" s="156" t="s">
        <v>240</v>
      </c>
      <c r="E28" s="159">
        <v>0.43099999999999999</v>
      </c>
      <c r="F28" s="159">
        <v>9.0999999999999998E-2</v>
      </c>
      <c r="G28" s="159">
        <v>0.16300000000000001</v>
      </c>
      <c r="H28" s="159">
        <v>2.3719999999999999</v>
      </c>
      <c r="I28">
        <f t="shared" si="8"/>
        <v>0.14098789663068367</v>
      </c>
      <c r="J28">
        <f t="shared" si="9"/>
        <v>0.77592410860320571</v>
      </c>
      <c r="K28">
        <f t="shared" si="10"/>
        <v>5.3320248609748121E-2</v>
      </c>
      <c r="L28">
        <f t="shared" si="11"/>
        <v>2.9767746156362445E-2</v>
      </c>
      <c r="N28" t="s">
        <v>279</v>
      </c>
      <c r="O28" s="11" t="s">
        <v>280</v>
      </c>
      <c r="P28" s="159">
        <v>0.71799999999999997</v>
      </c>
      <c r="Q28" s="159">
        <v>0.255</v>
      </c>
      <c r="R28" s="159">
        <v>6.0000000000000001E-3</v>
      </c>
      <c r="S28">
        <f t="shared" si="12"/>
        <v>0.26046986721144028</v>
      </c>
      <c r="U28">
        <f t="shared" si="13"/>
        <v>8.5783553231432337E-3</v>
      </c>
      <c r="V28">
        <v>1</v>
      </c>
      <c r="W28">
        <v>906</v>
      </c>
      <c r="X28" s="159">
        <f t="shared" si="15"/>
        <v>633</v>
      </c>
      <c r="Y28" s="9"/>
      <c r="Z28" s="161">
        <f t="shared" si="14"/>
        <v>0.6213308121634239</v>
      </c>
      <c r="AA28" s="82"/>
      <c r="AG28" s="82"/>
    </row>
    <row r="29" spans="1:33" customFormat="1" x14ac:dyDescent="0.55000000000000004">
      <c r="C29" t="s">
        <v>167</v>
      </c>
      <c r="D29" s="156" t="s">
        <v>241</v>
      </c>
      <c r="E29" s="159">
        <v>0.435</v>
      </c>
      <c r="F29" s="159">
        <v>8.5999999999999993E-2</v>
      </c>
      <c r="G29" s="159">
        <v>0.16200000000000001</v>
      </c>
      <c r="H29" s="159">
        <v>2.3559999999999999</v>
      </c>
      <c r="I29">
        <f t="shared" si="8"/>
        <v>0.14313919052319843</v>
      </c>
      <c r="J29">
        <f t="shared" si="9"/>
        <v>0.77525501809805863</v>
      </c>
      <c r="K29">
        <f t="shared" si="10"/>
        <v>5.3307008884501489E-2</v>
      </c>
      <c r="L29">
        <f t="shared" si="11"/>
        <v>2.8298782494241528E-2</v>
      </c>
      <c r="N29" t="s">
        <v>279</v>
      </c>
      <c r="O29" s="11" t="s">
        <v>280</v>
      </c>
      <c r="P29" s="159">
        <v>0.71799999999999997</v>
      </c>
      <c r="Q29" s="159">
        <v>0.255</v>
      </c>
      <c r="R29" s="159">
        <v>6.0000000000000001E-3</v>
      </c>
      <c r="S29">
        <f t="shared" si="12"/>
        <v>0.26046986721144028</v>
      </c>
      <c r="U29">
        <f t="shared" si="13"/>
        <v>8.5719667444233184E-3</v>
      </c>
      <c r="V29">
        <v>1</v>
      </c>
      <c r="W29">
        <v>906</v>
      </c>
      <c r="X29" s="159">
        <f t="shared" si="15"/>
        <v>633</v>
      </c>
      <c r="Y29" s="9"/>
      <c r="Z29" s="161">
        <f t="shared" si="14"/>
        <v>0.62126025973526822</v>
      </c>
      <c r="AA29" s="82"/>
      <c r="AG29" s="82"/>
    </row>
    <row r="30" spans="1:33" customFormat="1" x14ac:dyDescent="0.55000000000000004">
      <c r="C30" t="s">
        <v>168</v>
      </c>
      <c r="D30" s="156" t="s">
        <v>242</v>
      </c>
      <c r="E30" s="159">
        <v>0.437</v>
      </c>
      <c r="F30" s="159">
        <v>8.2000000000000003E-2</v>
      </c>
      <c r="G30" s="159">
        <v>0.16300000000000001</v>
      </c>
      <c r="H30" s="159">
        <v>2.3860000000000001</v>
      </c>
      <c r="I30">
        <f t="shared" si="8"/>
        <v>0.14243807040417208</v>
      </c>
      <c r="J30">
        <f t="shared" si="9"/>
        <v>0.77770534550195569</v>
      </c>
      <c r="K30">
        <f t="shared" si="10"/>
        <v>5.3129074315514994E-2</v>
      </c>
      <c r="L30">
        <f t="shared" si="11"/>
        <v>2.6727509778357236E-2</v>
      </c>
      <c r="N30" t="s">
        <v>279</v>
      </c>
      <c r="O30" s="11" t="s">
        <v>280</v>
      </c>
      <c r="P30" s="159">
        <v>0.71799999999999997</v>
      </c>
      <c r="Q30" s="159">
        <v>0.255</v>
      </c>
      <c r="R30" s="159">
        <v>6.0000000000000001E-3</v>
      </c>
      <c r="S30">
        <f t="shared" si="12"/>
        <v>0.26046986721144028</v>
      </c>
      <c r="U30">
        <f t="shared" si="13"/>
        <v>8.4864153088678694E-3</v>
      </c>
      <c r="V30">
        <v>1</v>
      </c>
      <c r="W30">
        <v>906</v>
      </c>
      <c r="X30" s="159">
        <f t="shared" si="15"/>
        <v>633</v>
      </c>
      <c r="Y30" s="9"/>
      <c r="Z30" s="161">
        <f t="shared" si="14"/>
        <v>0.62031037025001157</v>
      </c>
      <c r="AA30" s="82"/>
      <c r="AG30" s="82"/>
    </row>
    <row r="31" spans="1:33" customFormat="1" x14ac:dyDescent="0.55000000000000004">
      <c r="C31" t="s">
        <v>169</v>
      </c>
      <c r="D31" s="156" t="s">
        <v>243</v>
      </c>
      <c r="E31" s="159">
        <v>0.438</v>
      </c>
      <c r="F31" s="159">
        <v>7.6999999999999999E-2</v>
      </c>
      <c r="G31" s="159">
        <v>0.16800000000000001</v>
      </c>
      <c r="H31" s="159">
        <v>2.3809999999999998</v>
      </c>
      <c r="I31">
        <f t="shared" si="8"/>
        <v>0.14295039164490861</v>
      </c>
      <c r="J31">
        <f t="shared" si="9"/>
        <v>0.7770887728459529</v>
      </c>
      <c r="K31">
        <f t="shared" si="10"/>
        <v>5.4830287206266322E-2</v>
      </c>
      <c r="L31">
        <f t="shared" si="11"/>
        <v>2.5130548302872063E-2</v>
      </c>
      <c r="N31" t="s">
        <v>279</v>
      </c>
      <c r="O31" s="11" t="s">
        <v>280</v>
      </c>
      <c r="P31" s="159">
        <v>0.71799999999999997</v>
      </c>
      <c r="Q31" s="159">
        <v>0.255</v>
      </c>
      <c r="R31" s="159">
        <v>6.0000000000000001E-3</v>
      </c>
      <c r="S31">
        <f t="shared" si="12"/>
        <v>0.26046986721144028</v>
      </c>
      <c r="U31">
        <f t="shared" si="13"/>
        <v>9.3280120062498775E-3</v>
      </c>
      <c r="V31">
        <v>1</v>
      </c>
      <c r="W31">
        <v>906</v>
      </c>
      <c r="X31" s="159">
        <f t="shared" si="15"/>
        <v>633</v>
      </c>
      <c r="Y31" s="9"/>
      <c r="Z31" s="161">
        <f t="shared" si="14"/>
        <v>0.62926475059441167</v>
      </c>
      <c r="AA31" s="82"/>
      <c r="AG31" s="82"/>
    </row>
    <row r="32" spans="1:33" customFormat="1" x14ac:dyDescent="0.55000000000000004">
      <c r="C32" t="s">
        <v>170</v>
      </c>
      <c r="D32" s="156" t="s">
        <v>244</v>
      </c>
      <c r="E32" s="159">
        <v>0.44</v>
      </c>
      <c r="F32" s="159">
        <v>7.6999999999999999E-2</v>
      </c>
      <c r="G32" s="159">
        <v>0.16900000000000001</v>
      </c>
      <c r="H32" s="159">
        <v>2.367</v>
      </c>
      <c r="I32">
        <f t="shared" si="8"/>
        <v>0.14412053717654766</v>
      </c>
      <c r="J32">
        <f t="shared" si="9"/>
        <v>0.77530298067474612</v>
      </c>
      <c r="K32">
        <f t="shared" si="10"/>
        <v>5.5355388142810352E-2</v>
      </c>
      <c r="L32">
        <f t="shared" si="11"/>
        <v>2.5221094005895839E-2</v>
      </c>
      <c r="N32" t="s">
        <v>279</v>
      </c>
      <c r="O32" s="11" t="s">
        <v>280</v>
      </c>
      <c r="P32" s="159">
        <v>0.71799999999999997</v>
      </c>
      <c r="Q32" s="159">
        <v>0.255</v>
      </c>
      <c r="R32" s="159">
        <v>6.0000000000000001E-3</v>
      </c>
      <c r="S32">
        <f t="shared" si="12"/>
        <v>0.26046986721144028</v>
      </c>
      <c r="U32">
        <f t="shared" si="13"/>
        <v>9.5985854404440647E-3</v>
      </c>
      <c r="V32">
        <v>1</v>
      </c>
      <c r="W32">
        <v>906</v>
      </c>
      <c r="X32" s="159">
        <f t="shared" si="15"/>
        <v>633</v>
      </c>
      <c r="Y32" s="9"/>
      <c r="Z32" s="161">
        <f t="shared" si="14"/>
        <v>0.63197258543707513</v>
      </c>
      <c r="AA32" s="82"/>
      <c r="AG32" s="82"/>
    </row>
    <row r="33" spans="2:33" customFormat="1" x14ac:dyDescent="0.55000000000000004">
      <c r="C33" t="s">
        <v>171</v>
      </c>
      <c r="D33" s="156" t="s">
        <v>245</v>
      </c>
      <c r="E33" s="159">
        <v>0.44700000000000001</v>
      </c>
      <c r="F33" s="159">
        <v>7.1999999999999995E-2</v>
      </c>
      <c r="G33" s="159">
        <v>0.17299999999999999</v>
      </c>
      <c r="H33" s="159">
        <v>2.3650000000000002</v>
      </c>
      <c r="I33">
        <f t="shared" si="8"/>
        <v>0.14622178606476938</v>
      </c>
      <c r="J33">
        <f t="shared" si="9"/>
        <v>0.7736342819757932</v>
      </c>
      <c r="K33">
        <f t="shared" si="10"/>
        <v>5.6591429506051671E-2</v>
      </c>
      <c r="L33">
        <f t="shared" si="11"/>
        <v>2.3552502453385669E-2</v>
      </c>
      <c r="N33" t="s">
        <v>279</v>
      </c>
      <c r="O33" s="11" t="s">
        <v>280</v>
      </c>
      <c r="P33" s="159">
        <v>0.71799999999999997</v>
      </c>
      <c r="Q33" s="159">
        <v>0.255</v>
      </c>
      <c r="R33" s="159">
        <v>6.0000000000000001E-3</v>
      </c>
      <c r="S33">
        <f t="shared" si="12"/>
        <v>0.26046986721144028</v>
      </c>
      <c r="U33">
        <f t="shared" si="13"/>
        <v>1.0256035780589163E-2</v>
      </c>
      <c r="V33">
        <v>1</v>
      </c>
      <c r="W33">
        <v>906</v>
      </c>
      <c r="X33" s="159">
        <f t="shared" si="15"/>
        <v>633</v>
      </c>
      <c r="Y33" s="9"/>
      <c r="Z33" s="161">
        <f t="shared" si="14"/>
        <v>0.63824652211104171</v>
      </c>
      <c r="AA33" s="82"/>
      <c r="AG33" s="82"/>
    </row>
    <row r="34" spans="2:33" customFormat="1" x14ac:dyDescent="0.55000000000000004">
      <c r="C34" t="s">
        <v>172</v>
      </c>
      <c r="D34" s="156" t="s">
        <v>246</v>
      </c>
      <c r="E34" s="159">
        <v>0.45200000000000001</v>
      </c>
      <c r="F34" s="159">
        <v>6.7000000000000004E-2</v>
      </c>
      <c r="G34" s="159">
        <v>0.17299999999999999</v>
      </c>
      <c r="H34" s="159">
        <v>2.383</v>
      </c>
      <c r="I34">
        <f t="shared" si="8"/>
        <v>0.14699186991869917</v>
      </c>
      <c r="J34">
        <f t="shared" si="9"/>
        <v>0.77495934959349588</v>
      </c>
      <c r="K34">
        <f t="shared" si="10"/>
        <v>5.6260162601626008E-2</v>
      </c>
      <c r="L34">
        <f t="shared" si="11"/>
        <v>2.1788617886178863E-2</v>
      </c>
      <c r="N34" t="s">
        <v>279</v>
      </c>
      <c r="O34" s="11" t="s">
        <v>280</v>
      </c>
      <c r="P34" s="159">
        <v>0.71799999999999997</v>
      </c>
      <c r="Q34" s="159">
        <v>0.255</v>
      </c>
      <c r="R34" s="159">
        <v>6.0000000000000001E-3</v>
      </c>
      <c r="S34">
        <f t="shared" si="12"/>
        <v>0.26046986721144028</v>
      </c>
      <c r="U34">
        <f t="shared" si="13"/>
        <v>1.0076982008254132E-2</v>
      </c>
      <c r="V34">
        <v>1</v>
      </c>
      <c r="W34">
        <v>906</v>
      </c>
      <c r="X34" s="159">
        <f t="shared" si="15"/>
        <v>633</v>
      </c>
      <c r="Y34" s="9"/>
      <c r="Z34" s="161">
        <f t="shared" si="14"/>
        <v>0.63657861125386817</v>
      </c>
      <c r="AA34" s="82"/>
      <c r="AG34" s="82"/>
    </row>
    <row r="35" spans="2:33" customFormat="1" x14ac:dyDescent="0.55000000000000004">
      <c r="C35" t="s">
        <v>173</v>
      </c>
      <c r="D35" s="156" t="s">
        <v>247</v>
      </c>
      <c r="E35" s="159">
        <v>0.45200000000000001</v>
      </c>
      <c r="F35" s="159">
        <v>6.3E-2</v>
      </c>
      <c r="G35" s="159">
        <v>0.16800000000000001</v>
      </c>
      <c r="H35" s="159">
        <v>2.3820000000000001</v>
      </c>
      <c r="I35">
        <f t="shared" si="8"/>
        <v>0.14747145187601957</v>
      </c>
      <c r="J35">
        <f t="shared" si="9"/>
        <v>0.7771615008156606</v>
      </c>
      <c r="K35">
        <f t="shared" si="10"/>
        <v>5.4812398042414355E-2</v>
      </c>
      <c r="L35">
        <f t="shared" si="11"/>
        <v>2.0554649265905382E-2</v>
      </c>
      <c r="N35" t="s">
        <v>279</v>
      </c>
      <c r="O35" s="11" t="s">
        <v>280</v>
      </c>
      <c r="P35" s="159">
        <v>0.71799999999999997</v>
      </c>
      <c r="Q35" s="159">
        <v>0.255</v>
      </c>
      <c r="R35" s="159">
        <v>6.0000000000000001E-3</v>
      </c>
      <c r="S35">
        <f t="shared" si="12"/>
        <v>0.26046986721144028</v>
      </c>
      <c r="U35">
        <f t="shared" si="13"/>
        <v>9.3188847935841337E-3</v>
      </c>
      <c r="V35">
        <v>1</v>
      </c>
      <c r="W35">
        <v>906</v>
      </c>
      <c r="X35" s="159">
        <f t="shared" si="15"/>
        <v>633</v>
      </c>
      <c r="Y35" s="9"/>
      <c r="Z35" s="161">
        <f t="shared" si="14"/>
        <v>0.62917204378986902</v>
      </c>
      <c r="AA35" s="82"/>
      <c r="AG35" s="82"/>
    </row>
    <row r="36" spans="2:33" customFormat="1" x14ac:dyDescent="0.55000000000000004">
      <c r="C36" t="s">
        <v>174</v>
      </c>
      <c r="D36" s="156" t="s">
        <v>250</v>
      </c>
      <c r="E36" s="159">
        <v>0.46500000000000002</v>
      </c>
      <c r="F36" s="159">
        <v>6.2E-2</v>
      </c>
      <c r="G36" s="159">
        <v>0.16300000000000001</v>
      </c>
      <c r="H36" s="159">
        <v>2.3929999999999998</v>
      </c>
      <c r="I36">
        <f t="shared" si="8"/>
        <v>0.15082711644502111</v>
      </c>
      <c r="J36">
        <f t="shared" si="9"/>
        <v>0.77619202075900096</v>
      </c>
      <c r="K36">
        <f t="shared" si="10"/>
        <v>5.2870580603308473E-2</v>
      </c>
      <c r="L36">
        <f t="shared" si="11"/>
        <v>2.0110282192669478E-2</v>
      </c>
      <c r="N36" t="s">
        <v>279</v>
      </c>
      <c r="O36" s="11" t="s">
        <v>280</v>
      </c>
      <c r="P36" s="159">
        <v>0.71799999999999997</v>
      </c>
      <c r="Q36" s="159">
        <v>0.255</v>
      </c>
      <c r="R36" s="159">
        <v>6.0000000000000001E-3</v>
      </c>
      <c r="S36">
        <f t="shared" si="12"/>
        <v>0.26046986721144028</v>
      </c>
      <c r="U36">
        <f t="shared" si="13"/>
        <v>8.363147821185378E-3</v>
      </c>
      <c r="V36">
        <v>1</v>
      </c>
      <c r="W36">
        <v>906</v>
      </c>
      <c r="X36" s="159">
        <f t="shared" si="15"/>
        <v>633</v>
      </c>
      <c r="Y36" s="9"/>
      <c r="Z36" s="161">
        <f t="shared" si="14"/>
        <v>0.61892473915015478</v>
      </c>
      <c r="AA36" s="82"/>
      <c r="AG36" s="82"/>
    </row>
    <row r="37" spans="2:33" s="9" customFormat="1" x14ac:dyDescent="0.55000000000000004">
      <c r="E37" s="159"/>
      <c r="F37" s="159"/>
      <c r="G37" s="159"/>
      <c r="H37" s="159"/>
      <c r="P37" s="159"/>
      <c r="Q37" s="159"/>
      <c r="R37" s="159"/>
      <c r="X37" s="159"/>
      <c r="Y37" s="9" t="s">
        <v>59</v>
      </c>
      <c r="Z37" s="80">
        <f>AVERAGE(Z26:Z36)</f>
        <v>0.62932635078604049</v>
      </c>
      <c r="AA37" s="130"/>
      <c r="AG37" s="130"/>
    </row>
    <row r="38" spans="2:33" x14ac:dyDescent="0.55000000000000004">
      <c r="E38" s="55"/>
      <c r="F38" s="55"/>
      <c r="G38" s="55"/>
      <c r="H38" s="55"/>
      <c r="P38" s="55"/>
      <c r="Q38" s="55"/>
      <c r="R38" s="55"/>
      <c r="X38" s="55"/>
      <c r="Z38" s="60"/>
    </row>
    <row r="39" spans="2:33" s="82" customFormat="1" x14ac:dyDescent="0.55000000000000004">
      <c r="B39" s="84" t="s">
        <v>82</v>
      </c>
      <c r="C39" s="82" t="s">
        <v>177</v>
      </c>
      <c r="D39" s="84" t="s">
        <v>278</v>
      </c>
      <c r="E39" s="83">
        <v>0.47699999999999998</v>
      </c>
      <c r="F39" s="83">
        <v>3.3000000000000002E-2</v>
      </c>
      <c r="G39" s="83">
        <v>0.215</v>
      </c>
      <c r="H39" s="83">
        <v>2.2709999999999999</v>
      </c>
      <c r="I39" s="82">
        <v>0.15921228304405874</v>
      </c>
      <c r="J39" s="82">
        <v>0.75801068090787715</v>
      </c>
      <c r="K39" s="82">
        <v>7.1762349799732977E-2</v>
      </c>
      <c r="L39" s="82">
        <v>1.1014686248331108E-2</v>
      </c>
      <c r="N39" t="s">
        <v>281</v>
      </c>
      <c r="O39" s="84" t="s">
        <v>255</v>
      </c>
      <c r="P39" s="83">
        <v>0.72849999999999993</v>
      </c>
      <c r="Q39" s="83">
        <v>0.26200000000000001</v>
      </c>
      <c r="R39" s="83">
        <v>6.9999999999999993E-3</v>
      </c>
      <c r="S39" s="82">
        <v>0.26265664160401003</v>
      </c>
      <c r="U39" s="82">
        <v>2.0395050818142829E-2</v>
      </c>
      <c r="V39" s="82">
        <v>1</v>
      </c>
      <c r="W39" s="88">
        <v>943</v>
      </c>
      <c r="X39" s="173">
        <v>670</v>
      </c>
      <c r="Y39" s="139"/>
      <c r="Z39" s="161">
        <v>0.78759475252499611</v>
      </c>
    </row>
    <row r="40" spans="2:33" s="82" customFormat="1" x14ac:dyDescent="0.55000000000000004">
      <c r="C40" s="82" t="s">
        <v>178</v>
      </c>
      <c r="D40" s="84" t="s">
        <v>274</v>
      </c>
      <c r="E40" s="83">
        <v>0.435</v>
      </c>
      <c r="F40" s="83">
        <v>0.04</v>
      </c>
      <c r="G40" s="83">
        <v>0.222</v>
      </c>
      <c r="H40" s="83">
        <v>2.3879999999999999</v>
      </c>
      <c r="I40" s="82">
        <v>0.14100486223662886</v>
      </c>
      <c r="J40" s="82">
        <v>0.77406807131280386</v>
      </c>
      <c r="K40" s="82">
        <v>7.196110210696921E-2</v>
      </c>
      <c r="L40" s="82">
        <v>1.2965964343598056E-2</v>
      </c>
      <c r="N40" t="s">
        <v>281</v>
      </c>
      <c r="O40" s="84" t="s">
        <v>255</v>
      </c>
      <c r="P40" s="83">
        <v>0.72849999999999993</v>
      </c>
      <c r="Q40" s="83">
        <v>0.26200000000000001</v>
      </c>
      <c r="R40" s="83">
        <v>6.9999999999999993E-3</v>
      </c>
      <c r="S40" s="82">
        <v>0.26265664160401003</v>
      </c>
      <c r="U40" s="82">
        <v>2.0564978384281524E-2</v>
      </c>
      <c r="V40" s="82">
        <v>1</v>
      </c>
      <c r="W40" s="88">
        <v>943</v>
      </c>
      <c r="X40" s="173">
        <v>670</v>
      </c>
      <c r="Y40" s="139"/>
      <c r="Z40" s="161">
        <v>0.78838050552119598</v>
      </c>
    </row>
    <row r="41" spans="2:33" s="82" customFormat="1" x14ac:dyDescent="0.55000000000000004">
      <c r="C41" s="82" t="s">
        <v>179</v>
      </c>
      <c r="D41" s="84" t="s">
        <v>273</v>
      </c>
      <c r="E41" s="83">
        <v>0.47899999999999998</v>
      </c>
      <c r="F41" s="83">
        <v>3.3000000000000002E-2</v>
      </c>
      <c r="G41" s="83">
        <v>0.221</v>
      </c>
      <c r="H41" s="83">
        <v>2.2709999999999999</v>
      </c>
      <c r="I41" s="82">
        <v>0.15945406125166445</v>
      </c>
      <c r="J41" s="82">
        <v>0.75599201065246335</v>
      </c>
      <c r="K41" s="82">
        <v>7.356857523302264E-2</v>
      </c>
      <c r="L41" s="82">
        <v>1.0985352862849535E-2</v>
      </c>
      <c r="N41" t="s">
        <v>281</v>
      </c>
      <c r="O41" s="84" t="s">
        <v>255</v>
      </c>
      <c r="P41" s="83">
        <v>0.72849999999999993</v>
      </c>
      <c r="Q41" s="83">
        <v>0.26200000000000001</v>
      </c>
      <c r="R41" s="83">
        <v>6.9999999999999993E-3</v>
      </c>
      <c r="S41" s="82">
        <v>0.26265664160401003</v>
      </c>
      <c r="U41" s="82">
        <v>2.1974139395002881E-2</v>
      </c>
      <c r="V41" s="82">
        <v>1</v>
      </c>
      <c r="W41" s="88">
        <v>943</v>
      </c>
      <c r="X41" s="173">
        <v>670</v>
      </c>
      <c r="Y41" s="139"/>
      <c r="Z41" s="161">
        <v>0.79465691178617204</v>
      </c>
    </row>
    <row r="42" spans="2:33" s="82" customFormat="1" x14ac:dyDescent="0.55000000000000004">
      <c r="C42" s="82" t="s">
        <v>180</v>
      </c>
      <c r="D42" s="84" t="s">
        <v>272</v>
      </c>
      <c r="E42" s="83">
        <v>0.505</v>
      </c>
      <c r="F42" s="83">
        <v>3.3000000000000002E-2</v>
      </c>
      <c r="G42" s="83">
        <v>0.222</v>
      </c>
      <c r="H42" s="83">
        <v>2.282</v>
      </c>
      <c r="I42" s="82">
        <v>0.16600920447074294</v>
      </c>
      <c r="J42" s="82">
        <v>0.75016436554898103</v>
      </c>
      <c r="K42" s="82">
        <v>7.2978303747534529E-2</v>
      </c>
      <c r="L42" s="82">
        <v>1.0848126232741619E-2</v>
      </c>
      <c r="N42" t="s">
        <v>281</v>
      </c>
      <c r="O42" s="84" t="s">
        <v>255</v>
      </c>
      <c r="P42" s="83">
        <v>0.72849999999999993</v>
      </c>
      <c r="Q42" s="83">
        <v>0.26200000000000001</v>
      </c>
      <c r="R42" s="83">
        <v>6.9999999999999993E-3</v>
      </c>
      <c r="S42" s="82">
        <v>0.26265664160401003</v>
      </c>
      <c r="U42" s="82">
        <v>2.1449448651481236E-2</v>
      </c>
      <c r="V42" s="82">
        <v>1</v>
      </c>
      <c r="W42" s="88">
        <v>943</v>
      </c>
      <c r="X42" s="173">
        <v>670</v>
      </c>
      <c r="Y42" s="139"/>
      <c r="Z42" s="161">
        <v>0.79236826480729905</v>
      </c>
    </row>
    <row r="43" spans="2:33" s="82" customFormat="1" x14ac:dyDescent="0.55000000000000004">
      <c r="C43" s="82" t="s">
        <v>181</v>
      </c>
      <c r="D43" s="84" t="s">
        <v>271</v>
      </c>
      <c r="E43" s="83">
        <v>0.48799999999999999</v>
      </c>
      <c r="F43" s="83">
        <v>3.4000000000000002E-2</v>
      </c>
      <c r="G43" s="83">
        <v>0.22</v>
      </c>
      <c r="H43" s="83">
        <v>2.3260000000000001</v>
      </c>
      <c r="I43" s="82">
        <v>0.15906127770534551</v>
      </c>
      <c r="J43" s="82">
        <v>0.75814863102998697</v>
      </c>
      <c r="K43" s="82">
        <v>7.1707953063885263E-2</v>
      </c>
      <c r="L43" s="82">
        <v>1.1082138200782269E-2</v>
      </c>
      <c r="N43" t="s">
        <v>281</v>
      </c>
      <c r="O43" s="84" t="s">
        <v>255</v>
      </c>
      <c r="P43" s="83">
        <v>0.72849999999999993</v>
      </c>
      <c r="Q43" s="83">
        <v>0.26200000000000001</v>
      </c>
      <c r="R43" s="83">
        <v>6.9999999999999993E-3</v>
      </c>
      <c r="S43" s="82">
        <v>0.26265664160401003</v>
      </c>
      <c r="U43" s="82">
        <v>2.0348706873840251E-2</v>
      </c>
      <c r="V43" s="82">
        <v>1</v>
      </c>
      <c r="W43" s="88">
        <v>943</v>
      </c>
      <c r="X43" s="173">
        <v>670</v>
      </c>
      <c r="Y43" s="139"/>
      <c r="Z43" s="161">
        <v>0.78737931960143748</v>
      </c>
    </row>
    <row r="44" spans="2:33" s="82" customFormat="1" x14ac:dyDescent="0.55000000000000004">
      <c r="C44" s="82" t="s">
        <v>182</v>
      </c>
      <c r="D44" s="84" t="s">
        <v>270</v>
      </c>
      <c r="E44" s="83">
        <v>0.50600000000000001</v>
      </c>
      <c r="F44" s="83">
        <v>2.9000000000000001E-2</v>
      </c>
      <c r="G44" s="83">
        <v>0.219</v>
      </c>
      <c r="H44" s="83">
        <v>2.3279999999999998</v>
      </c>
      <c r="I44" s="82">
        <v>0.16417910447761194</v>
      </c>
      <c r="J44" s="82">
        <v>0.75535366645035695</v>
      </c>
      <c r="K44" s="82">
        <v>7.1057754704737186E-2</v>
      </c>
      <c r="L44" s="82">
        <v>9.4094743672939653E-3</v>
      </c>
      <c r="N44" t="s">
        <v>281</v>
      </c>
      <c r="O44" s="84" t="s">
        <v>255</v>
      </c>
      <c r="P44" s="83">
        <v>0.72849999999999993</v>
      </c>
      <c r="Q44" s="83">
        <v>0.26200000000000001</v>
      </c>
      <c r="R44" s="83">
        <v>6.9999999999999993E-3</v>
      </c>
      <c r="S44" s="82">
        <v>0.26265664160401003</v>
      </c>
      <c r="U44" s="82">
        <v>1.9800186479252829E-2</v>
      </c>
      <c r="V44" s="82">
        <v>1</v>
      </c>
      <c r="W44" s="88">
        <v>943</v>
      </c>
      <c r="X44" s="173">
        <v>670</v>
      </c>
      <c r="Y44" s="139"/>
      <c r="Z44" s="161">
        <v>0.78479154647467253</v>
      </c>
    </row>
    <row r="45" spans="2:33" s="82" customFormat="1" x14ac:dyDescent="0.55000000000000004">
      <c r="C45" s="82" t="s">
        <v>183</v>
      </c>
      <c r="D45" s="84" t="s">
        <v>269</v>
      </c>
      <c r="E45" s="83">
        <v>0.51800000000000002</v>
      </c>
      <c r="F45" s="83">
        <v>2.9000000000000001E-2</v>
      </c>
      <c r="G45" s="83">
        <v>0.218</v>
      </c>
      <c r="H45" s="83">
        <v>2.363</v>
      </c>
      <c r="I45" s="82">
        <v>0.1656010230179028</v>
      </c>
      <c r="J45" s="82">
        <v>0.75543478260869568</v>
      </c>
      <c r="K45" s="82">
        <v>6.9693094629156002E-2</v>
      </c>
      <c r="L45" s="82">
        <v>9.2710997442455242E-3</v>
      </c>
      <c r="N45" t="s">
        <v>281</v>
      </c>
      <c r="O45" s="84" t="s">
        <v>255</v>
      </c>
      <c r="P45" s="83">
        <v>0.72849999999999993</v>
      </c>
      <c r="Q45" s="83">
        <v>0.26200000000000001</v>
      </c>
      <c r="R45" s="83">
        <v>6.9999999999999993E-3</v>
      </c>
      <c r="S45" s="82">
        <v>0.26265664160401003</v>
      </c>
      <c r="U45" s="82">
        <v>1.8681170610693198E-2</v>
      </c>
      <c r="V45" s="82">
        <v>1</v>
      </c>
      <c r="W45" s="88">
        <v>943</v>
      </c>
      <c r="X45" s="173">
        <v>670</v>
      </c>
      <c r="Y45" s="139"/>
      <c r="Z45" s="161">
        <v>0.77928234950062636</v>
      </c>
    </row>
    <row r="46" spans="2:33" s="82" customFormat="1" x14ac:dyDescent="0.55000000000000004">
      <c r="C46" s="82" t="s">
        <v>184</v>
      </c>
      <c r="D46" s="84" t="s">
        <v>268</v>
      </c>
      <c r="E46" s="83">
        <v>0.52500000000000002</v>
      </c>
      <c r="F46" s="83">
        <v>2.9000000000000001E-2</v>
      </c>
      <c r="G46" s="83">
        <v>0.21</v>
      </c>
      <c r="H46" s="83">
        <v>2.3199999999999998</v>
      </c>
      <c r="I46" s="82">
        <v>0.17023346303501949</v>
      </c>
      <c r="J46" s="82">
        <v>0.75226977950713358</v>
      </c>
      <c r="K46" s="82">
        <v>6.809338521400779E-2</v>
      </c>
      <c r="L46" s="82">
        <v>9.4033722438391712E-3</v>
      </c>
      <c r="N46" t="s">
        <v>281</v>
      </c>
      <c r="O46" s="84" t="s">
        <v>255</v>
      </c>
      <c r="P46" s="83">
        <v>0.72849999999999993</v>
      </c>
      <c r="Q46" s="83">
        <v>0.26200000000000001</v>
      </c>
      <c r="R46" s="83">
        <v>6.9999999999999993E-3</v>
      </c>
      <c r="S46" s="82">
        <v>0.26265664160401003</v>
      </c>
      <c r="U46" s="82">
        <v>1.7424070321716539E-2</v>
      </c>
      <c r="V46" s="82">
        <v>1</v>
      </c>
      <c r="W46" s="88">
        <v>943</v>
      </c>
      <c r="X46" s="173">
        <v>670</v>
      </c>
      <c r="Y46" s="139"/>
      <c r="Z46" s="161">
        <v>0.77268521649866007</v>
      </c>
    </row>
    <row r="47" spans="2:33" s="82" customFormat="1" x14ac:dyDescent="0.55000000000000004">
      <c r="C47" s="82" t="s">
        <v>185</v>
      </c>
      <c r="D47" s="84" t="s">
        <v>267</v>
      </c>
      <c r="E47" s="83">
        <v>0.51200000000000001</v>
      </c>
      <c r="F47" s="83">
        <v>2.8000000000000001E-2</v>
      </c>
      <c r="G47" s="83">
        <v>0.214</v>
      </c>
      <c r="H47" s="83">
        <v>2.306</v>
      </c>
      <c r="I47" s="82">
        <v>0.16732026143790849</v>
      </c>
      <c r="J47" s="82">
        <v>0.75359477124183005</v>
      </c>
      <c r="K47" s="82">
        <v>6.9934640522875818E-2</v>
      </c>
      <c r="L47" s="82">
        <v>9.1503267973856214E-3</v>
      </c>
      <c r="N47" t="s">
        <v>281</v>
      </c>
      <c r="O47" s="84" t="s">
        <v>255</v>
      </c>
      <c r="P47" s="83">
        <v>0.72849999999999993</v>
      </c>
      <c r="Q47" s="83">
        <v>0.26200000000000001</v>
      </c>
      <c r="R47" s="83">
        <v>6.9999999999999993E-3</v>
      </c>
      <c r="S47" s="82">
        <v>0.26265664160401003</v>
      </c>
      <c r="U47" s="82">
        <v>1.8876083061246659E-2</v>
      </c>
      <c r="V47" s="82">
        <v>1</v>
      </c>
      <c r="W47" s="88">
        <v>943</v>
      </c>
      <c r="X47" s="173">
        <v>670</v>
      </c>
      <c r="Y47" s="139"/>
      <c r="Z47" s="161">
        <v>0.78026529542875822</v>
      </c>
    </row>
    <row r="48" spans="2:33" s="82" customFormat="1" x14ac:dyDescent="0.55000000000000004">
      <c r="C48" s="82" t="s">
        <v>186</v>
      </c>
      <c r="D48" s="84" t="s">
        <v>266</v>
      </c>
      <c r="E48" s="83">
        <v>0.51400000000000001</v>
      </c>
      <c r="F48" s="83">
        <v>2.9000000000000001E-2</v>
      </c>
      <c r="G48" s="83">
        <v>0.214</v>
      </c>
      <c r="H48" s="83">
        <v>2.3119999999999998</v>
      </c>
      <c r="I48" s="82">
        <v>0.16748126425545781</v>
      </c>
      <c r="J48" s="82">
        <v>0.75333985011404359</v>
      </c>
      <c r="K48" s="82">
        <v>6.9729553600521341E-2</v>
      </c>
      <c r="L48" s="82">
        <v>9.4493320299771921E-3</v>
      </c>
      <c r="N48" t="s">
        <v>281</v>
      </c>
      <c r="O48" s="84" t="s">
        <v>255</v>
      </c>
      <c r="P48" s="83">
        <v>0.72849999999999993</v>
      </c>
      <c r="Q48" s="83">
        <v>0.26200000000000001</v>
      </c>
      <c r="R48" s="83">
        <v>6.9999999999999993E-3</v>
      </c>
      <c r="S48" s="82">
        <v>0.26265664160401003</v>
      </c>
      <c r="U48" s="82">
        <v>1.8710504333186578E-2</v>
      </c>
      <c r="V48" s="82">
        <v>1</v>
      </c>
      <c r="W48" s="88">
        <v>943</v>
      </c>
      <c r="X48" s="173">
        <v>670</v>
      </c>
      <c r="Y48" s="139"/>
      <c r="Z48" s="161">
        <v>0.77943093359557103</v>
      </c>
    </row>
    <row r="49" spans="1:33" s="82" customFormat="1" x14ac:dyDescent="0.55000000000000004">
      <c r="C49" s="82" t="s">
        <v>187</v>
      </c>
      <c r="D49" s="84" t="s">
        <v>324</v>
      </c>
      <c r="E49" s="83">
        <v>0.50900000000000001</v>
      </c>
      <c r="F49" s="83">
        <v>2.8000000000000001E-2</v>
      </c>
      <c r="G49" s="83">
        <v>0.217</v>
      </c>
      <c r="H49" s="83">
        <v>2.2749999999999999</v>
      </c>
      <c r="I49" s="82">
        <v>0.16804225817101354</v>
      </c>
      <c r="J49" s="82">
        <v>0.75107296137339052</v>
      </c>
      <c r="K49" s="82">
        <v>7.1640805546384953E-2</v>
      </c>
      <c r="L49" s="82">
        <v>9.243974909210962E-3</v>
      </c>
      <c r="N49" t="s">
        <v>281</v>
      </c>
      <c r="O49" s="84" t="s">
        <v>255</v>
      </c>
      <c r="P49" s="83">
        <v>0.72849999999999993</v>
      </c>
      <c r="Q49" s="83">
        <v>0.26200000000000001</v>
      </c>
      <c r="R49" s="83">
        <v>6.9999999999999993E-3</v>
      </c>
      <c r="S49" s="82">
        <v>0.26265664160401003</v>
      </c>
      <c r="U49" s="82">
        <v>2.0291596636104824E-2</v>
      </c>
      <c r="V49" s="82">
        <v>1</v>
      </c>
      <c r="W49" s="88">
        <v>943</v>
      </c>
      <c r="X49" s="173">
        <v>670</v>
      </c>
      <c r="Y49" s="139"/>
      <c r="Z49" s="161">
        <v>0.78711316297333644</v>
      </c>
    </row>
    <row r="50" spans="1:33" s="130" customFormat="1" x14ac:dyDescent="0.55000000000000004">
      <c r="E50" s="83"/>
      <c r="F50" s="83"/>
      <c r="G50" s="83"/>
      <c r="H50" s="83"/>
      <c r="P50" s="83"/>
      <c r="Q50" s="83"/>
      <c r="R50" s="83"/>
      <c r="X50" s="83"/>
      <c r="Y50" s="130" t="s">
        <v>59</v>
      </c>
      <c r="Z50" s="80">
        <v>0.78490438715570221</v>
      </c>
    </row>
    <row r="51" spans="1:33" s="160" customFormat="1" x14ac:dyDescent="0.55000000000000004">
      <c r="E51" s="167"/>
      <c r="F51" s="167"/>
      <c r="G51" s="167"/>
      <c r="H51" s="167"/>
      <c r="P51" s="167"/>
      <c r="Q51" s="167"/>
      <c r="R51" s="167"/>
      <c r="X51" s="167"/>
      <c r="Z51" s="166"/>
    </row>
    <row r="52" spans="1:33" x14ac:dyDescent="0.55000000000000004">
      <c r="E52" s="55"/>
      <c r="F52" s="55"/>
      <c r="G52" s="55"/>
      <c r="H52" s="55"/>
      <c r="P52" s="55"/>
      <c r="Q52" s="55"/>
      <c r="R52" s="55"/>
      <c r="X52" s="55"/>
      <c r="Z52" s="60"/>
    </row>
    <row r="53" spans="1:33" x14ac:dyDescent="0.55000000000000004">
      <c r="A53" s="31" t="s">
        <v>126</v>
      </c>
      <c r="B53" s="11" t="s">
        <v>204</v>
      </c>
      <c r="C53" s="31" t="s">
        <v>127</v>
      </c>
      <c r="D53" s="156" t="s">
        <v>362</v>
      </c>
      <c r="E53" s="55">
        <v>0.3</v>
      </c>
      <c r="F53" s="55">
        <v>0.3</v>
      </c>
      <c r="G53" s="55">
        <v>0.40899999999999997</v>
      </c>
      <c r="H53" s="55">
        <v>1.9279999999999999</v>
      </c>
      <c r="I53" s="31">
        <f t="shared" ref="I53:I63" si="16">E53/(SUM(E53:H53))</f>
        <v>0.10214504596527069</v>
      </c>
      <c r="J53" s="31">
        <f t="shared" ref="J53:J63" si="17">H53/(SUM(E53:H53))</f>
        <v>0.65645216207013957</v>
      </c>
      <c r="K53" s="31">
        <f t="shared" ref="K53:K63" si="18">G53/(SUM(E53:H53))</f>
        <v>0.13925774599931903</v>
      </c>
      <c r="L53" s="31">
        <f t="shared" ref="L53:L63" si="19">F53/(SUM(E53:H53))</f>
        <v>0.10214504596527069</v>
      </c>
      <c r="N53" s="31" t="s">
        <v>128</v>
      </c>
      <c r="O53" s="11" t="s">
        <v>282</v>
      </c>
      <c r="P53" s="55">
        <v>0.628</v>
      </c>
      <c r="Q53" s="55">
        <v>0.36</v>
      </c>
      <c r="R53" s="55">
        <v>6.0000000000000001E-3</v>
      </c>
      <c r="S53" s="31">
        <f t="shared" ref="S53:S63" si="20">Q53/(SUM(P53:R53))</f>
        <v>0.36217303822937624</v>
      </c>
      <c r="U53" s="31">
        <f t="shared" ref="U53:U63" si="21">(K53)^3/(S53)^3</f>
        <v>5.6847285985376236E-2</v>
      </c>
      <c r="V53" s="31">
        <v>1</v>
      </c>
      <c r="W53" s="31">
        <v>896</v>
      </c>
      <c r="X53" s="55">
        <f>W53-273</f>
        <v>623</v>
      </c>
      <c r="Z53" s="60">
        <f t="shared" ref="Z53:Z63" si="22">((0.00259-0.000313*V53)*W53)+((LN(U53))*(0.171-0.0763*V53))-0.991</f>
        <v>0.77765047005437526</v>
      </c>
      <c r="AA53" s="58"/>
    </row>
    <row r="54" spans="1:33" x14ac:dyDescent="0.55000000000000004">
      <c r="B54" s="31"/>
      <c r="C54" s="31" t="s">
        <v>129</v>
      </c>
      <c r="D54" s="156" t="s">
        <v>239</v>
      </c>
      <c r="E54" s="55">
        <v>0.35599999999999998</v>
      </c>
      <c r="F54" s="55">
        <v>0.25900000000000001</v>
      </c>
      <c r="G54" s="55">
        <v>0.47799999999999998</v>
      </c>
      <c r="H54" s="55">
        <v>1.903</v>
      </c>
      <c r="I54" s="31">
        <f t="shared" si="16"/>
        <v>0.11882510013351134</v>
      </c>
      <c r="J54" s="31">
        <f t="shared" si="17"/>
        <v>0.63518024032042719</v>
      </c>
      <c r="K54" s="31">
        <f t="shared" si="18"/>
        <v>0.15954606141522029</v>
      </c>
      <c r="L54" s="31">
        <f t="shared" si="19"/>
        <v>8.6448598130841131E-2</v>
      </c>
      <c r="N54" s="31" t="s">
        <v>130</v>
      </c>
      <c r="O54" s="11" t="s">
        <v>283</v>
      </c>
      <c r="P54" s="55">
        <v>0.65400000000000003</v>
      </c>
      <c r="Q54" s="55">
        <v>0.34799999999999998</v>
      </c>
      <c r="R54" s="55">
        <v>6.0000000000000001E-3</v>
      </c>
      <c r="S54" s="31">
        <f t="shared" si="20"/>
        <v>0.34523809523809523</v>
      </c>
      <c r="U54" s="31">
        <f t="shared" si="21"/>
        <v>9.869658530321665E-2</v>
      </c>
      <c r="V54" s="31">
        <v>1</v>
      </c>
      <c r="W54" s="31">
        <v>896</v>
      </c>
      <c r="X54" s="55">
        <f t="shared" ref="X54:X63" si="23">W54-273</f>
        <v>623</v>
      </c>
      <c r="Z54" s="60">
        <f t="shared" si="22"/>
        <v>0.82989474314164757</v>
      </c>
      <c r="AA54" s="58"/>
    </row>
    <row r="55" spans="1:33" x14ac:dyDescent="0.55000000000000004">
      <c r="B55" s="31"/>
      <c r="C55" s="31" t="s">
        <v>131</v>
      </c>
      <c r="D55" s="156" t="s">
        <v>240</v>
      </c>
      <c r="E55" s="55">
        <v>0.376</v>
      </c>
      <c r="F55" s="55">
        <v>0.224</v>
      </c>
      <c r="G55" s="55">
        <v>0.46200000000000002</v>
      </c>
      <c r="H55" s="55">
        <v>1.9059999999999999</v>
      </c>
      <c r="I55" s="31">
        <f t="shared" si="16"/>
        <v>0.12668463611859837</v>
      </c>
      <c r="J55" s="31">
        <f t="shared" si="17"/>
        <v>0.64218328840970351</v>
      </c>
      <c r="K55" s="31">
        <f t="shared" si="18"/>
        <v>0.15566037735849059</v>
      </c>
      <c r="L55" s="31">
        <f t="shared" si="19"/>
        <v>7.5471698113207544E-2</v>
      </c>
      <c r="N55" s="31" t="s">
        <v>132</v>
      </c>
      <c r="O55" s="11" t="s">
        <v>284</v>
      </c>
      <c r="P55" s="55">
        <v>0.67800000000000005</v>
      </c>
      <c r="Q55" s="55">
        <v>0.32900000000000001</v>
      </c>
      <c r="R55" s="55">
        <v>6.0000000000000001E-3</v>
      </c>
      <c r="S55" s="31">
        <f t="shared" si="20"/>
        <v>0.3247778874629812</v>
      </c>
      <c r="U55" s="31">
        <f t="shared" si="21"/>
        <v>0.11009684635032789</v>
      </c>
      <c r="V55" s="31">
        <v>1</v>
      </c>
      <c r="W55" s="31">
        <v>896</v>
      </c>
      <c r="X55" s="55">
        <f t="shared" si="23"/>
        <v>623</v>
      </c>
      <c r="Z55" s="60">
        <f t="shared" si="22"/>
        <v>0.84024640494291691</v>
      </c>
      <c r="AA55" s="58"/>
    </row>
    <row r="56" spans="1:33" x14ac:dyDescent="0.55000000000000004">
      <c r="B56" s="31"/>
      <c r="C56" s="31" t="s">
        <v>133</v>
      </c>
      <c r="D56" s="156" t="s">
        <v>241</v>
      </c>
      <c r="E56" s="55">
        <v>0.41199999999999998</v>
      </c>
      <c r="F56" s="55">
        <v>0.19900000000000001</v>
      </c>
      <c r="G56" s="55">
        <v>0.46899999999999997</v>
      </c>
      <c r="H56" s="55">
        <v>1.9139999999999999</v>
      </c>
      <c r="I56" s="31">
        <f t="shared" si="16"/>
        <v>0.13760855043420173</v>
      </c>
      <c r="J56" s="31">
        <f t="shared" si="17"/>
        <v>0.63927855711422843</v>
      </c>
      <c r="K56" s="31">
        <f t="shared" si="18"/>
        <v>0.15664662658650635</v>
      </c>
      <c r="L56" s="31">
        <f t="shared" si="19"/>
        <v>6.6466265865063462E-2</v>
      </c>
      <c r="N56" s="31" t="s">
        <v>134</v>
      </c>
      <c r="O56" s="11" t="s">
        <v>285</v>
      </c>
      <c r="P56" s="55">
        <v>0.67800000000000005</v>
      </c>
      <c r="Q56" s="55">
        <v>0.318</v>
      </c>
      <c r="R56" s="55">
        <v>6.0000000000000001E-3</v>
      </c>
      <c r="S56" s="31">
        <f t="shared" si="20"/>
        <v>0.31736526946107785</v>
      </c>
      <c r="U56" s="31">
        <f t="shared" si="21"/>
        <v>0.12024996115808786</v>
      </c>
      <c r="V56" s="31">
        <v>1</v>
      </c>
      <c r="W56" s="31">
        <v>896</v>
      </c>
      <c r="X56" s="55">
        <f t="shared" si="23"/>
        <v>623</v>
      </c>
      <c r="Z56" s="60">
        <f t="shared" si="22"/>
        <v>0.84860009897233313</v>
      </c>
      <c r="AA56" s="58"/>
    </row>
    <row r="57" spans="1:33" x14ac:dyDescent="0.55000000000000004">
      <c r="B57" s="31"/>
      <c r="C57" s="31" t="s">
        <v>135</v>
      </c>
      <c r="D57" s="156" t="s">
        <v>242</v>
      </c>
      <c r="E57" s="55">
        <v>0.43099999999999999</v>
      </c>
      <c r="F57" s="55">
        <v>0.18</v>
      </c>
      <c r="G57" s="55">
        <v>0.47399999999999998</v>
      </c>
      <c r="H57" s="55">
        <v>1.9</v>
      </c>
      <c r="I57" s="31">
        <f t="shared" si="16"/>
        <v>0.14438860971524289</v>
      </c>
      <c r="J57" s="31">
        <f t="shared" si="17"/>
        <v>0.63651591289782239</v>
      </c>
      <c r="K57" s="31">
        <f t="shared" si="18"/>
        <v>0.15879396984924624</v>
      </c>
      <c r="L57" s="31">
        <f t="shared" si="19"/>
        <v>6.030150753768844E-2</v>
      </c>
      <c r="N57" s="31" t="s">
        <v>58</v>
      </c>
      <c r="O57" s="11" t="s">
        <v>286</v>
      </c>
      <c r="P57" s="55">
        <v>0.65949999999999998</v>
      </c>
      <c r="Q57" s="55">
        <v>0.33875</v>
      </c>
      <c r="R57" s="55">
        <v>6.0000000000000001E-3</v>
      </c>
      <c r="S57" s="31">
        <f t="shared" si="20"/>
        <v>0.33731640527757034</v>
      </c>
      <c r="U57" s="31">
        <f t="shared" si="21"/>
        <v>0.10432529662206956</v>
      </c>
      <c r="V57" s="31">
        <v>1</v>
      </c>
      <c r="W57" s="31">
        <v>896</v>
      </c>
      <c r="X57" s="55">
        <f t="shared" si="23"/>
        <v>623</v>
      </c>
      <c r="Z57" s="60">
        <f t="shared" si="22"/>
        <v>0.83514713854322598</v>
      </c>
      <c r="AA57" s="58"/>
    </row>
    <row r="58" spans="1:33" x14ac:dyDescent="0.55000000000000004">
      <c r="B58" s="31"/>
      <c r="C58" s="31" t="s">
        <v>136</v>
      </c>
      <c r="D58" s="156" t="s">
        <v>243</v>
      </c>
      <c r="E58" s="55">
        <v>0.45100000000000001</v>
      </c>
      <c r="F58" s="55">
        <v>0.161</v>
      </c>
      <c r="G58" s="55">
        <v>0.48399999999999999</v>
      </c>
      <c r="H58" s="55">
        <v>1.8839999999999999</v>
      </c>
      <c r="I58" s="31">
        <f t="shared" si="16"/>
        <v>0.15134228187919463</v>
      </c>
      <c r="J58" s="31">
        <f t="shared" si="17"/>
        <v>0.63221476510067109</v>
      </c>
      <c r="K58" s="31">
        <f t="shared" si="18"/>
        <v>0.16241610738255033</v>
      </c>
      <c r="L58" s="31">
        <f t="shared" si="19"/>
        <v>5.4026845637583892E-2</v>
      </c>
      <c r="N58" s="31" t="s">
        <v>58</v>
      </c>
      <c r="O58" s="11" t="s">
        <v>286</v>
      </c>
      <c r="P58" s="55">
        <v>0.65949999999999998</v>
      </c>
      <c r="Q58" s="55">
        <v>0.33875</v>
      </c>
      <c r="R58" s="55">
        <v>6.0000000000000001E-3</v>
      </c>
      <c r="S58" s="31">
        <f t="shared" si="20"/>
        <v>0.33731640527757034</v>
      </c>
      <c r="U58" s="31">
        <f t="shared" si="21"/>
        <v>0.11162845200888827</v>
      </c>
      <c r="V58" s="31">
        <v>1</v>
      </c>
      <c r="W58" s="31">
        <v>896</v>
      </c>
      <c r="X58" s="55">
        <f t="shared" si="23"/>
        <v>623</v>
      </c>
      <c r="Z58" s="60">
        <f t="shared" si="22"/>
        <v>0.84155473884942211</v>
      </c>
      <c r="AA58" s="58"/>
    </row>
    <row r="59" spans="1:33" x14ac:dyDescent="0.55000000000000004">
      <c r="B59" s="31"/>
      <c r="C59" s="31" t="s">
        <v>137</v>
      </c>
      <c r="D59" s="156" t="s">
        <v>244</v>
      </c>
      <c r="E59" s="55">
        <v>0.46700000000000003</v>
      </c>
      <c r="F59" s="55">
        <v>0.14599999999999999</v>
      </c>
      <c r="G59" s="55">
        <v>0.48199999999999998</v>
      </c>
      <c r="H59" s="55">
        <v>1.8839999999999999</v>
      </c>
      <c r="I59" s="31">
        <f t="shared" si="16"/>
        <v>0.15676401477005708</v>
      </c>
      <c r="J59" s="31">
        <f t="shared" si="17"/>
        <v>0.63242698892245719</v>
      </c>
      <c r="K59" s="31">
        <f t="shared" si="18"/>
        <v>0.16179926149714668</v>
      </c>
      <c r="L59" s="31">
        <f t="shared" si="19"/>
        <v>4.9009734810339038E-2</v>
      </c>
      <c r="N59" s="31" t="s">
        <v>58</v>
      </c>
      <c r="O59" s="11" t="s">
        <v>286</v>
      </c>
      <c r="P59" s="55">
        <v>0.65949999999999998</v>
      </c>
      <c r="Q59" s="55">
        <v>0.33875</v>
      </c>
      <c r="R59" s="55">
        <v>6.0000000000000001E-3</v>
      </c>
      <c r="S59" s="31">
        <f t="shared" si="20"/>
        <v>0.33731640527757034</v>
      </c>
      <c r="U59" s="31">
        <f t="shared" si="21"/>
        <v>0.11036140343292417</v>
      </c>
      <c r="V59" s="31">
        <v>1</v>
      </c>
      <c r="W59" s="31">
        <v>896</v>
      </c>
      <c r="X59" s="55">
        <f t="shared" si="23"/>
        <v>623</v>
      </c>
      <c r="Z59" s="60">
        <f t="shared" si="22"/>
        <v>0.84047369122295301</v>
      </c>
      <c r="AA59" s="58"/>
    </row>
    <row r="60" spans="1:33" x14ac:dyDescent="0.55000000000000004">
      <c r="B60" s="31"/>
      <c r="C60" s="31" t="s">
        <v>138</v>
      </c>
      <c r="D60" s="156" t="s">
        <v>245</v>
      </c>
      <c r="E60" s="55">
        <v>0.48599999999999999</v>
      </c>
      <c r="F60" s="55">
        <v>0.127</v>
      </c>
      <c r="G60" s="55">
        <v>0.49</v>
      </c>
      <c r="H60" s="55">
        <v>1.9</v>
      </c>
      <c r="I60" s="31">
        <f t="shared" si="16"/>
        <v>0.16183816183816183</v>
      </c>
      <c r="J60" s="31">
        <f t="shared" si="17"/>
        <v>0.63270063270063259</v>
      </c>
      <c r="K60" s="31">
        <f t="shared" si="18"/>
        <v>0.16317016317016317</v>
      </c>
      <c r="L60" s="31">
        <f t="shared" si="19"/>
        <v>4.2291042291042288E-2</v>
      </c>
      <c r="N60" s="31" t="s">
        <v>58</v>
      </c>
      <c r="O60" s="11" t="s">
        <v>286</v>
      </c>
      <c r="P60" s="55">
        <v>0.65949999999999998</v>
      </c>
      <c r="Q60" s="55">
        <v>0.33875</v>
      </c>
      <c r="R60" s="55">
        <v>6.0000000000000001E-3</v>
      </c>
      <c r="S60" s="31">
        <f t="shared" si="20"/>
        <v>0.33731640527757034</v>
      </c>
      <c r="U60" s="31">
        <f t="shared" si="21"/>
        <v>0.11319046734416933</v>
      </c>
      <c r="V60" s="31">
        <v>1</v>
      </c>
      <c r="W60" s="31">
        <v>896</v>
      </c>
      <c r="X60" s="55">
        <f t="shared" si="23"/>
        <v>623</v>
      </c>
      <c r="Z60" s="60">
        <f t="shared" si="22"/>
        <v>0.84287068888579408</v>
      </c>
      <c r="AA60" s="58"/>
    </row>
    <row r="61" spans="1:33" x14ac:dyDescent="0.55000000000000004">
      <c r="B61" s="31"/>
      <c r="C61" s="31" t="s">
        <v>139</v>
      </c>
      <c r="D61" s="156" t="s">
        <v>246</v>
      </c>
      <c r="E61" s="55">
        <v>0.50800000000000001</v>
      </c>
      <c r="F61" s="55">
        <v>0.11799999999999999</v>
      </c>
      <c r="G61" s="55">
        <v>0.499</v>
      </c>
      <c r="H61" s="55">
        <v>1.8779999999999999</v>
      </c>
      <c r="I61" s="31">
        <f t="shared" si="16"/>
        <v>0.16916416916416915</v>
      </c>
      <c r="J61" s="31">
        <f t="shared" si="17"/>
        <v>0.62537462537462529</v>
      </c>
      <c r="K61" s="31">
        <f t="shared" si="18"/>
        <v>0.16616716616716615</v>
      </c>
      <c r="L61" s="31">
        <f t="shared" si="19"/>
        <v>3.9294039294039289E-2</v>
      </c>
      <c r="N61" s="31" t="s">
        <v>58</v>
      </c>
      <c r="O61" s="11" t="s">
        <v>286</v>
      </c>
      <c r="P61" s="55">
        <v>0.65949999999999998</v>
      </c>
      <c r="Q61" s="55">
        <v>0.33875</v>
      </c>
      <c r="R61" s="55">
        <v>6.0000000000000001E-3</v>
      </c>
      <c r="S61" s="31">
        <f t="shared" si="20"/>
        <v>0.33731640527757034</v>
      </c>
      <c r="U61" s="31">
        <f t="shared" si="21"/>
        <v>0.11954275208479109</v>
      </c>
      <c r="V61" s="31">
        <v>1</v>
      </c>
      <c r="W61" s="31">
        <v>896</v>
      </c>
      <c r="X61" s="55">
        <f t="shared" si="23"/>
        <v>623</v>
      </c>
      <c r="Z61" s="60">
        <f t="shared" si="22"/>
        <v>0.8480415090759631</v>
      </c>
      <c r="AA61" s="58"/>
    </row>
    <row r="62" spans="1:33" x14ac:dyDescent="0.55000000000000004">
      <c r="B62" s="31"/>
      <c r="C62" s="31" t="s">
        <v>140</v>
      </c>
      <c r="D62" s="156" t="s">
        <v>247</v>
      </c>
      <c r="E62" s="55">
        <v>0.505</v>
      </c>
      <c r="F62" s="55">
        <v>0.109</v>
      </c>
      <c r="G62" s="55">
        <v>0.496</v>
      </c>
      <c r="H62" s="55">
        <v>1.865</v>
      </c>
      <c r="I62" s="31">
        <f t="shared" si="16"/>
        <v>0.1697478991596639</v>
      </c>
      <c r="J62" s="31">
        <f t="shared" si="17"/>
        <v>0.62689075630252111</v>
      </c>
      <c r="K62" s="31">
        <f t="shared" si="18"/>
        <v>0.16672268907563026</v>
      </c>
      <c r="L62" s="31">
        <f t="shared" si="19"/>
        <v>3.663865546218488E-2</v>
      </c>
      <c r="N62" s="31" t="s">
        <v>58</v>
      </c>
      <c r="O62" s="11" t="s">
        <v>286</v>
      </c>
      <c r="P62" s="55">
        <v>0.65949999999999998</v>
      </c>
      <c r="Q62" s="55">
        <v>0.33875</v>
      </c>
      <c r="R62" s="55">
        <v>6.0000000000000001E-3</v>
      </c>
      <c r="S62" s="31">
        <f t="shared" si="20"/>
        <v>0.33731640527757034</v>
      </c>
      <c r="U62" s="31">
        <f t="shared" si="21"/>
        <v>0.12074571536146377</v>
      </c>
      <c r="V62" s="31">
        <v>1</v>
      </c>
      <c r="W62" s="31">
        <v>896</v>
      </c>
      <c r="X62" s="55">
        <f t="shared" si="23"/>
        <v>623</v>
      </c>
      <c r="Z62" s="60">
        <f t="shared" si="22"/>
        <v>0.84898971583153149</v>
      </c>
      <c r="AA62" s="58"/>
    </row>
    <row r="63" spans="1:33" x14ac:dyDescent="0.55000000000000004">
      <c r="B63" s="31"/>
      <c r="C63" s="31" t="s">
        <v>141</v>
      </c>
      <c r="D63" s="156" t="s">
        <v>250</v>
      </c>
      <c r="E63" s="55">
        <v>0.51300000000000001</v>
      </c>
      <c r="F63" s="55">
        <v>9.4E-2</v>
      </c>
      <c r="G63" s="55">
        <v>0.503</v>
      </c>
      <c r="H63" s="55">
        <v>1.8819999999999999</v>
      </c>
      <c r="I63" s="31">
        <f t="shared" si="16"/>
        <v>0.17145721925133689</v>
      </c>
      <c r="J63" s="31">
        <f t="shared" si="17"/>
        <v>0.62901069518716579</v>
      </c>
      <c r="K63" s="31">
        <f t="shared" si="18"/>
        <v>0.16811497326203209</v>
      </c>
      <c r="L63" s="31">
        <f t="shared" si="19"/>
        <v>3.1417112299465241E-2</v>
      </c>
      <c r="N63" s="31" t="s">
        <v>58</v>
      </c>
      <c r="O63" s="11" t="s">
        <v>286</v>
      </c>
      <c r="P63" s="55">
        <v>0.65949999999999998</v>
      </c>
      <c r="Q63" s="55">
        <v>0.33875</v>
      </c>
      <c r="R63" s="55">
        <v>6.0000000000000001E-3</v>
      </c>
      <c r="S63" s="31">
        <f t="shared" si="20"/>
        <v>0.33731640527757034</v>
      </c>
      <c r="U63" s="31">
        <f t="shared" si="21"/>
        <v>0.12379605268559433</v>
      </c>
      <c r="V63" s="31">
        <v>1</v>
      </c>
      <c r="W63" s="31">
        <v>896</v>
      </c>
      <c r="X63" s="55">
        <f t="shared" si="23"/>
        <v>623</v>
      </c>
      <c r="Z63" s="60">
        <f t="shared" si="22"/>
        <v>0.85135235457564684</v>
      </c>
      <c r="AA63" s="58"/>
    </row>
    <row r="64" spans="1:33" s="54" customFormat="1" x14ac:dyDescent="0.55000000000000004">
      <c r="E64" s="55"/>
      <c r="F64" s="55"/>
      <c r="G64" s="55"/>
      <c r="H64" s="55"/>
      <c r="P64" s="55"/>
      <c r="Q64" s="55"/>
      <c r="R64" s="55"/>
      <c r="X64" s="55"/>
      <c r="Y64" s="54" t="s">
        <v>59</v>
      </c>
      <c r="Z64" s="57">
        <f>AVERAGE(Z53:Z63)</f>
        <v>0.83680195946325542</v>
      </c>
      <c r="AA64" s="63"/>
      <c r="AG64" s="63"/>
    </row>
    <row r="65" spans="1:33" s="54" customFormat="1" x14ac:dyDescent="0.55000000000000004">
      <c r="E65" s="55"/>
      <c r="F65" s="55"/>
      <c r="G65" s="55"/>
      <c r="H65" s="55"/>
      <c r="P65" s="55"/>
      <c r="Q65" s="55"/>
      <c r="R65" s="55"/>
      <c r="X65" s="55"/>
      <c r="Z65" s="60"/>
      <c r="AA65" s="63"/>
      <c r="AG65" s="63"/>
    </row>
    <row r="66" spans="1:33" x14ac:dyDescent="0.55000000000000004">
      <c r="A66" s="31" t="s">
        <v>150</v>
      </c>
      <c r="B66" s="11" t="s">
        <v>84</v>
      </c>
      <c r="C66" s="63" t="s">
        <v>147</v>
      </c>
      <c r="D66" s="156" t="s">
        <v>70</v>
      </c>
      <c r="E66" s="55">
        <v>0.50600000000000001</v>
      </c>
      <c r="F66" s="55">
        <v>4.5999999999999999E-2</v>
      </c>
      <c r="G66" s="55">
        <v>0.75700000000000001</v>
      </c>
      <c r="H66" s="55">
        <v>1.6859999999999999</v>
      </c>
      <c r="I66" s="31">
        <f t="shared" ref="I66:I67" si="24">E66/(SUM(E66:H66))</f>
        <v>0.16894824707846409</v>
      </c>
      <c r="J66" s="31">
        <f t="shared" ref="J66:J67" si="25">H66/(SUM(E66:H66))</f>
        <v>0.56293823038397328</v>
      </c>
      <c r="K66" s="31">
        <f t="shared" ref="K66:K67" si="26">G66/(SUM(E66:H66))</f>
        <v>0.25275459098497494</v>
      </c>
      <c r="L66" s="31">
        <f t="shared" ref="L66:L67" si="27">F66/(SUM(E66:H66))</f>
        <v>1.5358931552587645E-2</v>
      </c>
      <c r="N66" s="54" t="s">
        <v>149</v>
      </c>
      <c r="O66" s="6" t="s">
        <v>255</v>
      </c>
      <c r="P66" s="55">
        <v>0.70199999999999996</v>
      </c>
      <c r="Q66" s="55">
        <v>0.29499999999999998</v>
      </c>
      <c r="R66" s="55">
        <v>6.0000000000000001E-3</v>
      </c>
      <c r="S66" s="31">
        <f t="shared" ref="S66:S67" si="28">Q66/(SUM(P66:R66))</f>
        <v>0.29411764705882354</v>
      </c>
      <c r="U66" s="31">
        <f t="shared" ref="U66:U67" si="29">(K66)^3/(S66)^3</f>
        <v>0.634649452092926</v>
      </c>
      <c r="V66" s="31">
        <v>1</v>
      </c>
      <c r="W66" s="31">
        <v>946</v>
      </c>
      <c r="X66" s="55">
        <f>W66-273</f>
        <v>673</v>
      </c>
      <c r="Z66" s="57">
        <f t="shared" ref="Z66:Z67" si="30">((0.00259-0.000313*V66)*W66)+((LN(U66))*(0.171-0.0763*V66))-0.991</f>
        <v>1.1199835694782951</v>
      </c>
      <c r="AA66" s="58"/>
    </row>
    <row r="67" spans="1:33" s="58" customFormat="1" x14ac:dyDescent="0.55000000000000004">
      <c r="B67" s="84"/>
      <c r="C67" s="63" t="s">
        <v>148</v>
      </c>
      <c r="D67" s="156" t="s">
        <v>299</v>
      </c>
      <c r="E67" s="64">
        <v>0.625</v>
      </c>
      <c r="F67" s="64">
        <v>0.06</v>
      </c>
      <c r="G67" s="64">
        <v>0.625</v>
      </c>
      <c r="H67" s="64">
        <v>1.728</v>
      </c>
      <c r="I67" s="58">
        <f t="shared" si="24"/>
        <v>0.20572745227123104</v>
      </c>
      <c r="J67" s="58">
        <f t="shared" si="25"/>
        <v>0.56879526003949965</v>
      </c>
      <c r="K67" s="58">
        <f t="shared" si="26"/>
        <v>0.20572745227123104</v>
      </c>
      <c r="L67" s="58">
        <f t="shared" si="27"/>
        <v>1.9749835418038181E-2</v>
      </c>
      <c r="N67" s="63" t="s">
        <v>149</v>
      </c>
      <c r="O67" s="6" t="s">
        <v>255</v>
      </c>
      <c r="P67" s="64">
        <v>0.70199999999999996</v>
      </c>
      <c r="Q67" s="64">
        <v>0.29499999999999998</v>
      </c>
      <c r="R67" s="64">
        <v>6.0000000000000001E-3</v>
      </c>
      <c r="S67" s="58">
        <f t="shared" si="28"/>
        <v>0.29411764705882354</v>
      </c>
      <c r="U67" s="58">
        <f t="shared" si="29"/>
        <v>0.34222638878915596</v>
      </c>
      <c r="V67" s="58">
        <v>1</v>
      </c>
      <c r="W67" s="58">
        <v>967</v>
      </c>
      <c r="X67" s="64">
        <f>W67-273</f>
        <v>694</v>
      </c>
      <c r="Y67" s="63"/>
      <c r="Z67" s="60">
        <f t="shared" si="30"/>
        <v>1.1093138183294147</v>
      </c>
    </row>
    <row r="68" spans="1:33" s="39" customFormat="1" x14ac:dyDescent="0.55000000000000004">
      <c r="B68" s="12"/>
      <c r="C68" s="61"/>
      <c r="D68" s="61"/>
      <c r="E68" s="62"/>
      <c r="F68" s="62"/>
      <c r="G68" s="62"/>
      <c r="H68" s="62"/>
      <c r="N68" s="61"/>
      <c r="O68" s="61"/>
      <c r="P68" s="62"/>
      <c r="Q68" s="62"/>
      <c r="R68" s="62"/>
      <c r="X68" s="62"/>
      <c r="Y68" s="61"/>
      <c r="Z68" s="177"/>
    </row>
    <row r="69" spans="1:33" x14ac:dyDescent="0.55000000000000004">
      <c r="E69" s="55"/>
      <c r="F69" s="55"/>
      <c r="G69" s="55"/>
      <c r="H69" s="55"/>
      <c r="P69" s="55"/>
      <c r="Q69" s="55"/>
      <c r="R69" s="55"/>
      <c r="X69" s="55"/>
      <c r="Z69" s="59"/>
    </row>
    <row r="70" spans="1:33" s="82" customFormat="1" x14ac:dyDescent="0.55000000000000004">
      <c r="A70" s="82" t="s">
        <v>202</v>
      </c>
      <c r="B70" s="84" t="s">
        <v>204</v>
      </c>
      <c r="C70" s="130" t="s">
        <v>301</v>
      </c>
      <c r="D70" s="156" t="s">
        <v>362</v>
      </c>
      <c r="E70" s="83">
        <v>0.44600000000000001</v>
      </c>
      <c r="F70" s="83">
        <v>0.23</v>
      </c>
      <c r="G70" s="83">
        <v>0.35</v>
      </c>
      <c r="H70" s="83">
        <v>2.0529999999999999</v>
      </c>
      <c r="I70" s="82">
        <f t="shared" ref="I70:I80" si="31">E70/(SUM(E70:H70))</f>
        <v>0.14485222474829493</v>
      </c>
      <c r="J70" s="82">
        <f t="shared" ref="J70:J80" si="32">H70/(SUM(E70:H70))</f>
        <v>0.66677492692432616</v>
      </c>
      <c r="K70" s="82">
        <f t="shared" ref="K70:K80" si="33">G70/(SUM(E70:H70))</f>
        <v>0.11367327054238389</v>
      </c>
      <c r="L70" s="82">
        <f t="shared" ref="L70:L80" si="34">F70/(SUM(E70:H70))</f>
        <v>7.4699577784995141E-2</v>
      </c>
      <c r="N70" s="82" t="s">
        <v>189</v>
      </c>
      <c r="O70" s="84" t="s">
        <v>286</v>
      </c>
      <c r="P70" s="83">
        <v>0.64400000000000002</v>
      </c>
      <c r="Q70" s="83">
        <v>0.33</v>
      </c>
      <c r="R70" s="83">
        <v>6.0000000000000001E-3</v>
      </c>
      <c r="S70" s="82">
        <f t="shared" ref="S70:S80" si="35">Q70/(SUM(P70:R70))</f>
        <v>0.33673469387755106</v>
      </c>
      <c r="U70" s="82">
        <f t="shared" ref="U70:U80" si="36">(K70)^3/(S70)^3</f>
        <v>3.8469051091720732E-2</v>
      </c>
      <c r="V70" s="82">
        <v>1</v>
      </c>
      <c r="W70" s="82">
        <v>934</v>
      </c>
      <c r="X70" s="83">
        <f t="shared" ref="X70:X80" si="37">W70-273</f>
        <v>661</v>
      </c>
      <c r="Y70" s="130"/>
      <c r="Z70" s="161">
        <f t="shared" ref="Z70:Z80" si="38">((0.00259-0.000313*V70)*W70)+((LN(U70))*(0.171-0.0763*V70))-0.991</f>
        <v>0.82719475364108253</v>
      </c>
    </row>
    <row r="71" spans="1:33" s="82" customFormat="1" x14ac:dyDescent="0.55000000000000004">
      <c r="C71" s="130" t="s">
        <v>302</v>
      </c>
      <c r="D71" s="156" t="s">
        <v>239</v>
      </c>
      <c r="E71" s="83">
        <v>0.46</v>
      </c>
      <c r="F71" s="83">
        <v>0.215</v>
      </c>
      <c r="G71" s="83">
        <v>0.35899999999999999</v>
      </c>
      <c r="H71" s="83">
        <v>2.0259999999999998</v>
      </c>
      <c r="I71" s="82">
        <f t="shared" si="31"/>
        <v>0.15032679738562094</v>
      </c>
      <c r="J71" s="82">
        <f t="shared" si="32"/>
        <v>0.66209150326797384</v>
      </c>
      <c r="K71" s="82">
        <f t="shared" si="33"/>
        <v>0.11732026143790851</v>
      </c>
      <c r="L71" s="82">
        <f t="shared" si="34"/>
        <v>7.0261437908496746E-2</v>
      </c>
      <c r="N71" s="82" t="s">
        <v>189</v>
      </c>
      <c r="O71" s="84" t="s">
        <v>286</v>
      </c>
      <c r="P71" s="83">
        <v>0.64400000000000002</v>
      </c>
      <c r="Q71" s="83">
        <v>0.33</v>
      </c>
      <c r="R71" s="83">
        <v>6.0000000000000001E-3</v>
      </c>
      <c r="S71" s="82">
        <f t="shared" si="35"/>
        <v>0.33673469387755106</v>
      </c>
      <c r="U71" s="82">
        <f t="shared" si="36"/>
        <v>4.2291732222692793E-2</v>
      </c>
      <c r="V71" s="82">
        <v>1</v>
      </c>
      <c r="W71" s="82">
        <v>934</v>
      </c>
      <c r="X71" s="83">
        <f t="shared" si="37"/>
        <v>661</v>
      </c>
      <c r="Y71" s="130"/>
      <c r="Z71" s="161">
        <f t="shared" si="38"/>
        <v>0.83616640066292247</v>
      </c>
    </row>
    <row r="72" spans="1:33" s="82" customFormat="1" x14ac:dyDescent="0.55000000000000004">
      <c r="C72" s="130" t="s">
        <v>303</v>
      </c>
      <c r="D72" s="156" t="s">
        <v>240</v>
      </c>
      <c r="E72" s="83">
        <v>0.47299999999999998</v>
      </c>
      <c r="F72" s="83">
        <v>0.21</v>
      </c>
      <c r="G72" s="83">
        <v>0.35299999999999998</v>
      </c>
      <c r="H72" s="83">
        <v>2.0329999999999999</v>
      </c>
      <c r="I72" s="82">
        <f t="shared" si="31"/>
        <v>0.15412186379928314</v>
      </c>
      <c r="J72" s="82">
        <f t="shared" si="32"/>
        <v>0.66243075920495276</v>
      </c>
      <c r="K72" s="82">
        <f t="shared" si="33"/>
        <v>0.11502117953730856</v>
      </c>
      <c r="L72" s="82">
        <f t="shared" si="34"/>
        <v>6.8426197458455518E-2</v>
      </c>
      <c r="N72" s="82" t="s">
        <v>189</v>
      </c>
      <c r="O72" s="84" t="s">
        <v>286</v>
      </c>
      <c r="P72" s="83">
        <v>0.64400000000000002</v>
      </c>
      <c r="Q72" s="83">
        <v>0.33</v>
      </c>
      <c r="R72" s="83">
        <v>6.0000000000000001E-3</v>
      </c>
      <c r="S72" s="82">
        <f t="shared" si="35"/>
        <v>0.33673469387755106</v>
      </c>
      <c r="U72" s="82">
        <f t="shared" si="36"/>
        <v>3.9853811129340562E-2</v>
      </c>
      <c r="V72" s="82">
        <v>1</v>
      </c>
      <c r="W72" s="82">
        <v>934</v>
      </c>
      <c r="X72" s="83">
        <f t="shared" si="37"/>
        <v>661</v>
      </c>
      <c r="Y72" s="130"/>
      <c r="Z72" s="161">
        <f t="shared" si="38"/>
        <v>0.83054372323496495</v>
      </c>
    </row>
    <row r="73" spans="1:33" s="82" customFormat="1" x14ac:dyDescent="0.55000000000000004">
      <c r="C73" s="130" t="s">
        <v>304</v>
      </c>
      <c r="D73" s="156" t="s">
        <v>241</v>
      </c>
      <c r="E73" s="83">
        <v>0.48099999999999998</v>
      </c>
      <c r="F73" s="83">
        <v>0.2</v>
      </c>
      <c r="G73" s="83">
        <v>0.34300000000000003</v>
      </c>
      <c r="H73" s="83">
        <v>2.0369999999999999</v>
      </c>
      <c r="I73" s="82">
        <f t="shared" si="31"/>
        <v>0.15713819013394315</v>
      </c>
      <c r="J73" s="82">
        <f t="shared" si="32"/>
        <v>0.66546880104540995</v>
      </c>
      <c r="K73" s="82">
        <f t="shared" si="33"/>
        <v>0.11205488402482849</v>
      </c>
      <c r="L73" s="82">
        <f t="shared" si="34"/>
        <v>6.5338124795818367E-2</v>
      </c>
      <c r="N73" s="82" t="s">
        <v>189</v>
      </c>
      <c r="O73" s="84" t="s">
        <v>286</v>
      </c>
      <c r="P73" s="83">
        <v>0.64400000000000002</v>
      </c>
      <c r="Q73" s="83">
        <v>0.33</v>
      </c>
      <c r="R73" s="83">
        <v>6.0000000000000001E-3</v>
      </c>
      <c r="S73" s="82">
        <f t="shared" si="35"/>
        <v>0.33673469387755106</v>
      </c>
      <c r="U73" s="82">
        <f t="shared" si="36"/>
        <v>3.6849260671887638E-2</v>
      </c>
      <c r="V73" s="82">
        <v>1</v>
      </c>
      <c r="W73" s="82">
        <v>934</v>
      </c>
      <c r="X73" s="83">
        <f t="shared" si="37"/>
        <v>661</v>
      </c>
      <c r="Y73" s="130"/>
      <c r="Z73" s="161">
        <f t="shared" si="38"/>
        <v>0.82312090216313416</v>
      </c>
    </row>
    <row r="74" spans="1:33" s="82" customFormat="1" x14ac:dyDescent="0.55000000000000004">
      <c r="C74" s="130" t="s">
        <v>305</v>
      </c>
      <c r="D74" s="156" t="s">
        <v>242</v>
      </c>
      <c r="E74" s="83">
        <v>0.48499999999999999</v>
      </c>
      <c r="F74" s="83">
        <v>0.2</v>
      </c>
      <c r="G74" s="83">
        <v>0.33300000000000002</v>
      </c>
      <c r="H74" s="83">
        <v>2.0259999999999998</v>
      </c>
      <c r="I74" s="82">
        <f t="shared" si="31"/>
        <v>0.15932982917214195</v>
      </c>
      <c r="J74" s="82">
        <f t="shared" si="32"/>
        <v>0.66557161629434958</v>
      </c>
      <c r="K74" s="82">
        <f t="shared" si="33"/>
        <v>0.10939553219448096</v>
      </c>
      <c r="L74" s="82">
        <f t="shared" si="34"/>
        <v>6.5703022339027611E-2</v>
      </c>
      <c r="N74" s="82" t="s">
        <v>189</v>
      </c>
      <c r="O74" s="84" t="s">
        <v>286</v>
      </c>
      <c r="P74" s="83">
        <v>0.64400000000000002</v>
      </c>
      <c r="Q74" s="83">
        <v>0.33</v>
      </c>
      <c r="R74" s="83">
        <v>6.0000000000000001E-3</v>
      </c>
      <c r="S74" s="82">
        <f t="shared" si="35"/>
        <v>0.33673469387755106</v>
      </c>
      <c r="U74" s="82">
        <f t="shared" si="36"/>
        <v>3.4287448134273778E-2</v>
      </c>
      <c r="V74" s="82">
        <v>1</v>
      </c>
      <c r="W74" s="82">
        <v>934</v>
      </c>
      <c r="X74" s="83">
        <f t="shared" si="37"/>
        <v>661</v>
      </c>
      <c r="Y74" s="130"/>
      <c r="Z74" s="161">
        <f t="shared" si="38"/>
        <v>0.81629717891846065</v>
      </c>
    </row>
    <row r="75" spans="1:33" s="82" customFormat="1" x14ac:dyDescent="0.55000000000000004">
      <c r="C75" s="130" t="s">
        <v>306</v>
      </c>
      <c r="D75" s="156" t="s">
        <v>243</v>
      </c>
      <c r="E75" s="83">
        <v>0.495</v>
      </c>
      <c r="F75" s="83">
        <v>0.19</v>
      </c>
      <c r="G75" s="83">
        <v>0.34200000000000003</v>
      </c>
      <c r="H75" s="83">
        <v>2.04</v>
      </c>
      <c r="I75" s="82">
        <f t="shared" si="31"/>
        <v>0.16139550048907728</v>
      </c>
      <c r="J75" s="82">
        <f t="shared" si="32"/>
        <v>0.66514509292468205</v>
      </c>
      <c r="K75" s="82">
        <f t="shared" si="33"/>
        <v>0.11150961851972611</v>
      </c>
      <c r="L75" s="82">
        <f t="shared" si="34"/>
        <v>6.1949788066514508E-2</v>
      </c>
      <c r="N75" s="82" t="s">
        <v>189</v>
      </c>
      <c r="O75" s="84" t="s">
        <v>286</v>
      </c>
      <c r="P75" s="83">
        <v>0.64400000000000002</v>
      </c>
      <c r="Q75" s="83">
        <v>0.33</v>
      </c>
      <c r="R75" s="83">
        <v>6.0000000000000001E-3</v>
      </c>
      <c r="S75" s="82">
        <f t="shared" si="35"/>
        <v>0.33673469387755106</v>
      </c>
      <c r="U75" s="82">
        <f t="shared" si="36"/>
        <v>3.6313942173305518E-2</v>
      </c>
      <c r="V75" s="82">
        <v>1</v>
      </c>
      <c r="W75" s="82">
        <v>934</v>
      </c>
      <c r="X75" s="83">
        <f t="shared" si="37"/>
        <v>661</v>
      </c>
      <c r="Y75" s="130"/>
      <c r="Z75" s="161">
        <f t="shared" si="38"/>
        <v>0.8217350807523095</v>
      </c>
    </row>
    <row r="76" spans="1:33" s="82" customFormat="1" x14ac:dyDescent="0.55000000000000004">
      <c r="C76" s="130" t="s">
        <v>307</v>
      </c>
      <c r="D76" s="156" t="s">
        <v>244</v>
      </c>
      <c r="E76" s="83">
        <v>0.495</v>
      </c>
      <c r="F76" s="83">
        <v>0.18099999999999999</v>
      </c>
      <c r="G76" s="83">
        <v>0.36199999999999999</v>
      </c>
      <c r="H76" s="83">
        <v>2.0219999999999998</v>
      </c>
      <c r="I76" s="82">
        <f t="shared" si="31"/>
        <v>0.16176470588235295</v>
      </c>
      <c r="J76" s="82">
        <f t="shared" si="32"/>
        <v>0.66078431372549018</v>
      </c>
      <c r="K76" s="82">
        <f t="shared" si="33"/>
        <v>0.11830065359477125</v>
      </c>
      <c r="L76" s="82">
        <f t="shared" si="34"/>
        <v>5.9150326797385626E-2</v>
      </c>
      <c r="N76" s="82" t="s">
        <v>189</v>
      </c>
      <c r="O76" s="84" t="s">
        <v>286</v>
      </c>
      <c r="P76" s="83">
        <v>0.64400000000000002</v>
      </c>
      <c r="Q76" s="83">
        <v>0.33</v>
      </c>
      <c r="R76" s="83">
        <v>6.0000000000000001E-3</v>
      </c>
      <c r="S76" s="82">
        <f t="shared" si="35"/>
        <v>0.33673469387755106</v>
      </c>
      <c r="U76" s="82">
        <f t="shared" si="36"/>
        <v>4.3360855245456194E-2</v>
      </c>
      <c r="V76" s="82">
        <v>1</v>
      </c>
      <c r="W76" s="82">
        <v>934</v>
      </c>
      <c r="X76" s="83">
        <f t="shared" si="37"/>
        <v>661</v>
      </c>
      <c r="Y76" s="130"/>
      <c r="Z76" s="161">
        <f t="shared" si="38"/>
        <v>0.83853063067310407</v>
      </c>
    </row>
    <row r="77" spans="1:33" s="82" customFormat="1" x14ac:dyDescent="0.55000000000000004">
      <c r="C77" s="130" t="s">
        <v>308</v>
      </c>
      <c r="D77" s="156" t="s">
        <v>245</v>
      </c>
      <c r="E77" s="83">
        <v>0.51300000000000001</v>
      </c>
      <c r="F77" s="83">
        <v>0.17599999999999999</v>
      </c>
      <c r="G77" s="83">
        <v>0.36099999999999999</v>
      </c>
      <c r="H77" s="83">
        <v>2.0289999999999999</v>
      </c>
      <c r="I77" s="82">
        <f t="shared" si="31"/>
        <v>0.16661253653783697</v>
      </c>
      <c r="J77" s="82">
        <f t="shared" si="32"/>
        <v>0.65898018837284833</v>
      </c>
      <c r="K77" s="82">
        <f t="shared" si="33"/>
        <v>0.11724585904514453</v>
      </c>
      <c r="L77" s="82">
        <f t="shared" si="34"/>
        <v>5.7161416044170188E-2</v>
      </c>
      <c r="N77" s="82" t="s">
        <v>189</v>
      </c>
      <c r="O77" s="84" t="s">
        <v>286</v>
      </c>
      <c r="P77" s="83">
        <v>0.64400000000000002</v>
      </c>
      <c r="Q77" s="83">
        <v>0.33</v>
      </c>
      <c r="R77" s="83">
        <v>6.0000000000000001E-3</v>
      </c>
      <c r="S77" s="82">
        <f t="shared" si="35"/>
        <v>0.33673469387755106</v>
      </c>
      <c r="U77" s="82">
        <f t="shared" si="36"/>
        <v>4.221132127916067E-2</v>
      </c>
      <c r="V77" s="82">
        <v>1</v>
      </c>
      <c r="W77" s="82">
        <v>934</v>
      </c>
      <c r="X77" s="83">
        <f t="shared" si="37"/>
        <v>661</v>
      </c>
      <c r="Y77" s="130"/>
      <c r="Z77" s="161">
        <f t="shared" si="38"/>
        <v>0.83598617241470319</v>
      </c>
    </row>
    <row r="78" spans="1:33" s="82" customFormat="1" x14ac:dyDescent="0.55000000000000004">
      <c r="C78" s="130" t="s">
        <v>309</v>
      </c>
      <c r="D78" s="156" t="s">
        <v>246</v>
      </c>
      <c r="E78" s="83">
        <v>0.504</v>
      </c>
      <c r="F78" s="83">
        <v>0.17100000000000001</v>
      </c>
      <c r="G78" s="83">
        <v>0.38</v>
      </c>
      <c r="H78" s="83">
        <v>2.0099999999999998</v>
      </c>
      <c r="I78" s="82">
        <f t="shared" si="31"/>
        <v>0.16443719412724306</v>
      </c>
      <c r="J78" s="82">
        <f t="shared" si="32"/>
        <v>0.65579119086460025</v>
      </c>
      <c r="K78" s="82">
        <f t="shared" si="33"/>
        <v>0.12398042414355628</v>
      </c>
      <c r="L78" s="82">
        <f t="shared" si="34"/>
        <v>5.5791190864600333E-2</v>
      </c>
      <c r="N78" s="82" t="s">
        <v>189</v>
      </c>
      <c r="O78" s="84" t="s">
        <v>286</v>
      </c>
      <c r="P78" s="83">
        <v>0.64400000000000002</v>
      </c>
      <c r="Q78" s="83">
        <v>0.33</v>
      </c>
      <c r="R78" s="83">
        <v>6.0000000000000001E-3</v>
      </c>
      <c r="S78" s="82">
        <f t="shared" si="35"/>
        <v>0.33673469387755106</v>
      </c>
      <c r="U78" s="82">
        <f t="shared" si="36"/>
        <v>4.9910941319624653E-2</v>
      </c>
      <c r="V78" s="82">
        <v>1</v>
      </c>
      <c r="W78" s="82">
        <v>934</v>
      </c>
      <c r="X78" s="83">
        <f t="shared" si="37"/>
        <v>661</v>
      </c>
      <c r="Y78" s="130"/>
      <c r="Z78" s="161">
        <f t="shared" si="38"/>
        <v>0.85185332615355136</v>
      </c>
    </row>
    <row r="79" spans="1:33" s="82" customFormat="1" x14ac:dyDescent="0.55000000000000004">
      <c r="C79" s="130" t="s">
        <v>310</v>
      </c>
      <c r="D79" s="156" t="s">
        <v>247</v>
      </c>
      <c r="E79" s="83">
        <v>0.50800000000000001</v>
      </c>
      <c r="F79" s="83">
        <v>0.16200000000000001</v>
      </c>
      <c r="G79" s="83">
        <v>0.39900000000000002</v>
      </c>
      <c r="H79" s="83">
        <v>1.986</v>
      </c>
      <c r="I79" s="82">
        <f t="shared" si="31"/>
        <v>0.16628477905073652</v>
      </c>
      <c r="J79" s="82">
        <f t="shared" si="32"/>
        <v>0.65008183306055656</v>
      </c>
      <c r="K79" s="82">
        <f t="shared" si="33"/>
        <v>0.13060556464811787</v>
      </c>
      <c r="L79" s="82">
        <f t="shared" si="34"/>
        <v>5.3027823240589203E-2</v>
      </c>
      <c r="N79" s="82" t="s">
        <v>189</v>
      </c>
      <c r="O79" s="84" t="s">
        <v>286</v>
      </c>
      <c r="P79" s="83">
        <v>0.64400000000000002</v>
      </c>
      <c r="Q79" s="83">
        <v>0.33</v>
      </c>
      <c r="R79" s="83">
        <v>6.0000000000000001E-3</v>
      </c>
      <c r="S79" s="82">
        <f t="shared" si="35"/>
        <v>0.33673469387755106</v>
      </c>
      <c r="U79" s="82">
        <f t="shared" si="36"/>
        <v>5.8347392263405663E-2</v>
      </c>
      <c r="V79" s="82">
        <v>1</v>
      </c>
      <c r="W79" s="82">
        <v>934</v>
      </c>
      <c r="X79" s="83">
        <f t="shared" si="37"/>
        <v>661</v>
      </c>
      <c r="Y79" s="130"/>
      <c r="Z79" s="161">
        <f t="shared" si="38"/>
        <v>0.86664304399291459</v>
      </c>
    </row>
    <row r="80" spans="1:33" s="82" customFormat="1" x14ac:dyDescent="0.55000000000000004">
      <c r="C80" s="130" t="s">
        <v>311</v>
      </c>
      <c r="D80" s="156" t="s">
        <v>250</v>
      </c>
      <c r="E80" s="83">
        <v>0.52400000000000002</v>
      </c>
      <c r="F80" s="83">
        <v>0.151</v>
      </c>
      <c r="G80" s="83">
        <v>0.38200000000000001</v>
      </c>
      <c r="H80" s="83">
        <v>2</v>
      </c>
      <c r="I80" s="82">
        <f t="shared" si="31"/>
        <v>0.17140987896630686</v>
      </c>
      <c r="J80" s="82">
        <f t="shared" si="32"/>
        <v>0.65423617926071309</v>
      </c>
      <c r="K80" s="82">
        <f t="shared" si="33"/>
        <v>0.1249591102387962</v>
      </c>
      <c r="L80" s="82">
        <f t="shared" si="34"/>
        <v>4.9394831534183843E-2</v>
      </c>
      <c r="N80" s="82" t="s">
        <v>189</v>
      </c>
      <c r="O80" s="84" t="s">
        <v>286</v>
      </c>
      <c r="P80" s="83">
        <v>0.64400000000000002</v>
      </c>
      <c r="Q80" s="83">
        <v>0.33</v>
      </c>
      <c r="R80" s="83">
        <v>6.0000000000000001E-3</v>
      </c>
      <c r="S80" s="82">
        <f t="shared" si="35"/>
        <v>0.33673469387755106</v>
      </c>
      <c r="U80" s="82">
        <f t="shared" si="36"/>
        <v>5.1102268559838238E-2</v>
      </c>
      <c r="V80" s="82">
        <v>1</v>
      </c>
      <c r="W80" s="82">
        <v>934</v>
      </c>
      <c r="X80" s="83">
        <f t="shared" si="37"/>
        <v>661</v>
      </c>
      <c r="Y80" s="130"/>
      <c r="Z80" s="161">
        <f t="shared" si="38"/>
        <v>0.85408717103362408</v>
      </c>
    </row>
    <row r="81" spans="2:26" s="82" customFormat="1" x14ac:dyDescent="0.55000000000000004">
      <c r="C81" s="130"/>
      <c r="D81" s="130"/>
      <c r="E81" s="83"/>
      <c r="F81" s="83"/>
      <c r="G81" s="83"/>
      <c r="H81" s="83"/>
      <c r="P81" s="83"/>
      <c r="Q81" s="83"/>
      <c r="R81" s="83"/>
      <c r="X81" s="83"/>
      <c r="Y81" s="130" t="s">
        <v>59</v>
      </c>
      <c r="Z81" s="80">
        <f>AVERAGE(Z70:Z80)</f>
        <v>0.83655985305825198</v>
      </c>
    </row>
    <row r="82" spans="2:26" x14ac:dyDescent="0.55000000000000004">
      <c r="E82" s="55"/>
      <c r="F82" s="55"/>
      <c r="G82" s="55"/>
      <c r="H82" s="55"/>
      <c r="P82" s="55"/>
      <c r="Q82" s="55"/>
      <c r="R82" s="55"/>
      <c r="X82" s="55"/>
      <c r="Z82" s="59"/>
    </row>
    <row r="83" spans="2:26" x14ac:dyDescent="0.55000000000000004">
      <c r="B83" s="11" t="s">
        <v>84</v>
      </c>
      <c r="C83" t="s">
        <v>313</v>
      </c>
      <c r="D83" s="11" t="s">
        <v>278</v>
      </c>
      <c r="E83" s="55">
        <v>0.61299999999999999</v>
      </c>
      <c r="F83" s="55">
        <v>7.1999999999999995E-2</v>
      </c>
      <c r="G83" s="55">
        <v>0.42199999999999999</v>
      </c>
      <c r="H83" s="55">
        <v>1.9790000000000001</v>
      </c>
      <c r="I83" s="31">
        <v>0.1986390149060272</v>
      </c>
      <c r="J83" s="31">
        <v>0.64128321451717429</v>
      </c>
      <c r="K83" s="31">
        <v>0.13674659753726506</v>
      </c>
      <c r="L83" s="31">
        <v>2.3331173039533373E-2</v>
      </c>
      <c r="N83" s="31" t="s">
        <v>312</v>
      </c>
      <c r="O83" s="15" t="s">
        <v>255</v>
      </c>
      <c r="P83" s="55">
        <v>0.70749999999999991</v>
      </c>
      <c r="Q83" s="55">
        <v>0.29024999999999995</v>
      </c>
      <c r="R83" s="55">
        <v>6.0000000000000001E-3</v>
      </c>
      <c r="S83" s="31">
        <v>0.28916562889165626</v>
      </c>
      <c r="U83" s="31">
        <v>0.10575711070444097</v>
      </c>
      <c r="V83" s="31">
        <v>1</v>
      </c>
      <c r="W83" s="31">
        <v>958</v>
      </c>
      <c r="X83" s="55">
        <v>685</v>
      </c>
      <c r="Z83" s="59">
        <v>0.97761201191860858</v>
      </c>
    </row>
    <row r="84" spans="2:26" x14ac:dyDescent="0.55000000000000004">
      <c r="C84" t="s">
        <v>314</v>
      </c>
      <c r="D84" s="11" t="s">
        <v>274</v>
      </c>
      <c r="E84" s="55">
        <v>0.621</v>
      </c>
      <c r="F84" s="55">
        <v>7.1999999999999995E-2</v>
      </c>
      <c r="G84" s="55">
        <v>0.41599999999999998</v>
      </c>
      <c r="H84" s="55">
        <v>1.9630000000000001</v>
      </c>
      <c r="I84" s="31">
        <v>0.2021484375</v>
      </c>
      <c r="J84" s="31">
        <v>0.63899739583333337</v>
      </c>
      <c r="K84" s="31">
        <v>0.13541666666666666</v>
      </c>
      <c r="L84" s="31">
        <v>2.3437499999999997E-2</v>
      </c>
      <c r="N84" s="31" t="s">
        <v>312</v>
      </c>
      <c r="O84" s="15" t="s">
        <v>255</v>
      </c>
      <c r="P84" s="55">
        <v>0.70749999999999991</v>
      </c>
      <c r="Q84" s="55">
        <v>0.29024999999999995</v>
      </c>
      <c r="R84" s="55">
        <v>6.0000000000000001E-3</v>
      </c>
      <c r="S84" s="31">
        <v>0.28916562889165626</v>
      </c>
      <c r="U84" s="31">
        <v>0.10270139612126288</v>
      </c>
      <c r="V84" s="31">
        <v>1</v>
      </c>
      <c r="W84" s="31">
        <v>958</v>
      </c>
      <c r="X84" s="55">
        <v>685</v>
      </c>
      <c r="Z84" s="59">
        <v>0.97483546991324233</v>
      </c>
    </row>
    <row r="85" spans="2:26" x14ac:dyDescent="0.55000000000000004">
      <c r="C85" t="s">
        <v>315</v>
      </c>
      <c r="D85" s="11" t="s">
        <v>273</v>
      </c>
      <c r="E85" s="55">
        <v>0.626</v>
      </c>
      <c r="F85" s="55">
        <v>7.1999999999999995E-2</v>
      </c>
      <c r="G85" s="55">
        <v>0.42</v>
      </c>
      <c r="H85" s="55">
        <v>1.968</v>
      </c>
      <c r="I85" s="31">
        <v>0.20285158781594298</v>
      </c>
      <c r="J85" s="31">
        <v>0.63771872974724564</v>
      </c>
      <c r="K85" s="31">
        <v>0.13609850939727802</v>
      </c>
      <c r="L85" s="31">
        <v>2.3331173039533377E-2</v>
      </c>
      <c r="N85" s="31" t="s">
        <v>312</v>
      </c>
      <c r="O85" s="15" t="s">
        <v>255</v>
      </c>
      <c r="P85" s="55">
        <v>0.70749999999999991</v>
      </c>
      <c r="Q85" s="55">
        <v>0.29024999999999995</v>
      </c>
      <c r="R85" s="55">
        <v>6.0000000000000001E-3</v>
      </c>
      <c r="S85" s="31">
        <v>0.28916562889165626</v>
      </c>
      <c r="U85" s="31">
        <v>0.1042605701738524</v>
      </c>
      <c r="V85" s="31">
        <v>1</v>
      </c>
      <c r="W85" s="31">
        <v>958</v>
      </c>
      <c r="X85" s="55">
        <v>685</v>
      </c>
      <c r="Z85" s="59">
        <v>0.97626236567489089</v>
      </c>
    </row>
    <row r="86" spans="2:26" x14ac:dyDescent="0.55000000000000004">
      <c r="C86" t="s">
        <v>316</v>
      </c>
      <c r="D86" s="11" t="s">
        <v>272</v>
      </c>
      <c r="E86" s="55">
        <v>0.629</v>
      </c>
      <c r="F86" s="55">
        <v>7.0999999999999994E-2</v>
      </c>
      <c r="G86" s="55">
        <v>0.41399999999999998</v>
      </c>
      <c r="H86" s="55">
        <v>1.972</v>
      </c>
      <c r="I86" s="31">
        <v>0.20382372002592353</v>
      </c>
      <c r="J86" s="31">
        <v>0.63901490602721978</v>
      </c>
      <c r="K86" s="31">
        <v>0.13415424497731693</v>
      </c>
      <c r="L86" s="31">
        <v>2.3007128969539856E-2</v>
      </c>
      <c r="N86" s="31" t="s">
        <v>312</v>
      </c>
      <c r="O86" s="15" t="s">
        <v>255</v>
      </c>
      <c r="P86" s="55">
        <v>0.70749999999999991</v>
      </c>
      <c r="Q86" s="55">
        <v>0.29024999999999995</v>
      </c>
      <c r="R86" s="55">
        <v>6.0000000000000001E-3</v>
      </c>
      <c r="S86" s="31">
        <v>0.28916562889165626</v>
      </c>
      <c r="U86" s="31">
        <v>9.9855789059014877E-2</v>
      </c>
      <c r="V86" s="31">
        <v>1</v>
      </c>
      <c r="W86" s="31">
        <v>958</v>
      </c>
      <c r="X86" s="55">
        <v>685</v>
      </c>
      <c r="Z86" s="59">
        <v>0.97217452536474946</v>
      </c>
    </row>
    <row r="87" spans="2:26" x14ac:dyDescent="0.55000000000000004">
      <c r="C87" t="s">
        <v>317</v>
      </c>
      <c r="D87" s="11" t="s">
        <v>271</v>
      </c>
      <c r="E87" s="55">
        <v>0.63400000000000001</v>
      </c>
      <c r="F87" s="55">
        <v>7.0999999999999994E-2</v>
      </c>
      <c r="G87" s="55">
        <v>0.40500000000000003</v>
      </c>
      <c r="H87" s="55">
        <v>1.968</v>
      </c>
      <c r="I87" s="31">
        <v>0.20597790773229371</v>
      </c>
      <c r="J87" s="31">
        <v>0.63937621832358682</v>
      </c>
      <c r="K87" s="31">
        <v>0.13157894736842107</v>
      </c>
      <c r="L87" s="31">
        <v>2.3066926575698504E-2</v>
      </c>
      <c r="N87" s="31" t="s">
        <v>312</v>
      </c>
      <c r="O87" s="15" t="s">
        <v>255</v>
      </c>
      <c r="P87" s="55">
        <v>0.70749999999999991</v>
      </c>
      <c r="Q87" s="55">
        <v>0.29024999999999995</v>
      </c>
      <c r="R87" s="55">
        <v>6.0000000000000001E-3</v>
      </c>
      <c r="S87" s="31">
        <v>0.28916562889165626</v>
      </c>
      <c r="U87" s="31">
        <v>9.4214817842986257E-2</v>
      </c>
      <c r="V87" s="31">
        <v>1</v>
      </c>
      <c r="W87" s="31">
        <v>958</v>
      </c>
      <c r="X87" s="55">
        <v>685</v>
      </c>
      <c r="Z87" s="59">
        <v>0.96666776159869394</v>
      </c>
    </row>
    <row r="88" spans="2:26" x14ac:dyDescent="0.55000000000000004">
      <c r="C88" t="s">
        <v>318</v>
      </c>
      <c r="D88" s="11" t="s">
        <v>270</v>
      </c>
      <c r="E88" s="55">
        <v>0.63700000000000001</v>
      </c>
      <c r="F88" s="55">
        <v>7.5999999999999998E-2</v>
      </c>
      <c r="G88" s="55">
        <v>0.40899999999999997</v>
      </c>
      <c r="H88" s="55">
        <v>1.9670000000000001</v>
      </c>
      <c r="I88" s="31">
        <v>0.2062156037552606</v>
      </c>
      <c r="J88" s="31">
        <v>0.63677565555195859</v>
      </c>
      <c r="K88" s="31">
        <v>0.13240530916154095</v>
      </c>
      <c r="L88" s="31">
        <v>2.4603431531239884E-2</v>
      </c>
      <c r="N88" s="31" t="s">
        <v>312</v>
      </c>
      <c r="O88" s="15" t="s">
        <v>255</v>
      </c>
      <c r="P88" s="55">
        <v>0.70749999999999991</v>
      </c>
      <c r="Q88" s="55">
        <v>0.29024999999999995</v>
      </c>
      <c r="R88" s="55">
        <v>6.0000000000000001E-3</v>
      </c>
      <c r="S88" s="31">
        <v>0.28916562889165626</v>
      </c>
      <c r="U88" s="31">
        <v>9.6001095456093866E-2</v>
      </c>
      <c r="V88" s="31">
        <v>1</v>
      </c>
      <c r="W88" s="31">
        <v>958</v>
      </c>
      <c r="X88" s="55">
        <v>685</v>
      </c>
      <c r="Z88" s="59">
        <v>0.96844642942802295</v>
      </c>
    </row>
    <row r="89" spans="2:26" x14ac:dyDescent="0.55000000000000004">
      <c r="C89" t="s">
        <v>319</v>
      </c>
      <c r="D89" s="11" t="s">
        <v>269</v>
      </c>
      <c r="E89" s="55">
        <v>0.63100000000000001</v>
      </c>
      <c r="F89" s="55">
        <v>7.0999999999999994E-2</v>
      </c>
      <c r="G89" s="55">
        <v>0.40799999999999997</v>
      </c>
      <c r="H89" s="55">
        <v>1.964</v>
      </c>
      <c r="I89" s="31">
        <v>0.20527000650618088</v>
      </c>
      <c r="J89" s="31">
        <v>0.63890696161353289</v>
      </c>
      <c r="K89" s="31">
        <v>0.13272608978529604</v>
      </c>
      <c r="L89" s="31">
        <v>2.309694209499024E-2</v>
      </c>
      <c r="N89" s="31" t="s">
        <v>312</v>
      </c>
      <c r="O89" s="15" t="s">
        <v>255</v>
      </c>
      <c r="P89" s="55">
        <v>0.70749999999999991</v>
      </c>
      <c r="Q89" s="55">
        <v>0.29024999999999995</v>
      </c>
      <c r="R89" s="55">
        <v>6.0000000000000001E-3</v>
      </c>
      <c r="S89" s="31">
        <v>0.28916562889165626</v>
      </c>
      <c r="U89" s="31">
        <v>9.6700537797449124E-2</v>
      </c>
      <c r="V89" s="31">
        <v>1</v>
      </c>
      <c r="W89" s="31">
        <v>958</v>
      </c>
      <c r="X89" s="55">
        <v>685</v>
      </c>
      <c r="Z89" s="59">
        <v>0.9691338909662589</v>
      </c>
    </row>
    <row r="90" spans="2:26" x14ac:dyDescent="0.55000000000000004">
      <c r="C90" t="s">
        <v>320</v>
      </c>
      <c r="D90" s="11" t="s">
        <v>268</v>
      </c>
      <c r="E90" s="55">
        <v>0.64700000000000002</v>
      </c>
      <c r="F90" s="55">
        <v>7.0999999999999994E-2</v>
      </c>
      <c r="G90" s="55">
        <v>0.4</v>
      </c>
      <c r="H90" s="55">
        <v>1.9690000000000001</v>
      </c>
      <c r="I90" s="31">
        <v>0.20958859734369942</v>
      </c>
      <c r="J90" s="31">
        <v>0.63783608681567872</v>
      </c>
      <c r="K90" s="31">
        <v>0.12957563977972142</v>
      </c>
      <c r="L90" s="31">
        <v>2.2999676060900552E-2</v>
      </c>
      <c r="N90" s="31" t="s">
        <v>312</v>
      </c>
      <c r="O90" s="15" t="s">
        <v>255</v>
      </c>
      <c r="P90" s="55">
        <v>0.70749999999999991</v>
      </c>
      <c r="Q90" s="55">
        <v>0.29024999999999995</v>
      </c>
      <c r="R90" s="55">
        <v>6.0000000000000001E-3</v>
      </c>
      <c r="S90" s="31">
        <v>0.28916562889165626</v>
      </c>
      <c r="U90" s="31">
        <v>8.9976702962451818E-2</v>
      </c>
      <c r="V90" s="31">
        <v>1</v>
      </c>
      <c r="W90" s="31">
        <v>958</v>
      </c>
      <c r="X90" s="55">
        <v>685</v>
      </c>
      <c r="Z90" s="59">
        <v>0.96230903402674628</v>
      </c>
    </row>
    <row r="91" spans="2:26" x14ac:dyDescent="0.55000000000000004">
      <c r="C91" t="s">
        <v>321</v>
      </c>
      <c r="D91" s="11" t="s">
        <v>267</v>
      </c>
      <c r="E91" s="55">
        <v>0.64600000000000002</v>
      </c>
      <c r="F91" s="55">
        <v>7.5999999999999998E-2</v>
      </c>
      <c r="G91" s="55">
        <v>0.39900000000000002</v>
      </c>
      <c r="H91" s="55">
        <v>1.9610000000000001</v>
      </c>
      <c r="I91" s="31">
        <v>0.20960415314730696</v>
      </c>
      <c r="J91" s="31">
        <v>0.63627514600908508</v>
      </c>
      <c r="K91" s="31">
        <v>0.12946138870863078</v>
      </c>
      <c r="L91" s="31">
        <v>2.4659312134977289E-2</v>
      </c>
      <c r="N91" s="31" t="s">
        <v>312</v>
      </c>
      <c r="O91" s="15" t="s">
        <v>255</v>
      </c>
      <c r="P91" s="55">
        <v>0.70749999999999991</v>
      </c>
      <c r="Q91" s="55">
        <v>0.29024999999999995</v>
      </c>
      <c r="R91" s="55">
        <v>6.0000000000000001E-3</v>
      </c>
      <c r="S91" s="31">
        <v>0.28916562889165626</v>
      </c>
      <c r="U91" s="31">
        <v>8.9738906570763916E-2</v>
      </c>
      <c r="V91" s="31">
        <v>1</v>
      </c>
      <c r="W91" s="31">
        <v>958</v>
      </c>
      <c r="X91" s="55">
        <v>685</v>
      </c>
      <c r="Z91" s="59">
        <v>0.96205842328131708</v>
      </c>
    </row>
    <row r="92" spans="2:26" x14ac:dyDescent="0.55000000000000004">
      <c r="C92" t="s">
        <v>322</v>
      </c>
      <c r="D92" s="11" t="s">
        <v>266</v>
      </c>
      <c r="E92" s="55">
        <v>0.64</v>
      </c>
      <c r="F92" s="55">
        <v>7.0999999999999994E-2</v>
      </c>
      <c r="G92" s="55">
        <v>0.41199999999999998</v>
      </c>
      <c r="H92" s="55">
        <v>1.9630000000000001</v>
      </c>
      <c r="I92" s="31">
        <v>0.20738820479585221</v>
      </c>
      <c r="J92" s="31">
        <v>0.63609850939727797</v>
      </c>
      <c r="K92" s="31">
        <v>0.13350615683732986</v>
      </c>
      <c r="L92" s="31">
        <v>2.3007128969539853E-2</v>
      </c>
      <c r="N92" s="31" t="s">
        <v>312</v>
      </c>
      <c r="O92" s="15" t="s">
        <v>255</v>
      </c>
      <c r="P92" s="55">
        <v>0.70749999999999991</v>
      </c>
      <c r="Q92" s="55">
        <v>0.29024999999999995</v>
      </c>
      <c r="R92" s="55">
        <v>6.0000000000000001E-3</v>
      </c>
      <c r="S92" s="31">
        <v>0.28916562889165626</v>
      </c>
      <c r="U92" s="31">
        <v>9.8415583685876856E-2</v>
      </c>
      <c r="V92" s="31">
        <v>1</v>
      </c>
      <c r="W92" s="31">
        <v>958</v>
      </c>
      <c r="X92" s="55">
        <v>685</v>
      </c>
      <c r="Z92" s="59">
        <v>0.97079873575117814</v>
      </c>
    </row>
    <row r="93" spans="2:26" x14ac:dyDescent="0.55000000000000004">
      <c r="C93" t="s">
        <v>323</v>
      </c>
      <c r="D93" s="11" t="s">
        <v>324</v>
      </c>
      <c r="E93" s="55">
        <v>0.64900000000000002</v>
      </c>
      <c r="F93" s="55">
        <v>7.0999999999999994E-2</v>
      </c>
      <c r="G93" s="55">
        <v>0.39800000000000002</v>
      </c>
      <c r="H93" s="55">
        <v>1.962</v>
      </c>
      <c r="I93" s="31">
        <v>0.21071428571428572</v>
      </c>
      <c r="J93" s="31">
        <v>0.63701298701298703</v>
      </c>
      <c r="K93" s="31">
        <v>0.12922077922077924</v>
      </c>
      <c r="L93" s="31">
        <v>2.3051948051948049E-2</v>
      </c>
      <c r="N93" s="31" t="s">
        <v>312</v>
      </c>
      <c r="O93" s="15" t="s">
        <v>255</v>
      </c>
      <c r="P93" s="55">
        <v>0.70749999999999991</v>
      </c>
      <c r="Q93" s="55">
        <v>0.29024999999999995</v>
      </c>
      <c r="R93" s="55">
        <v>6.0000000000000001E-3</v>
      </c>
      <c r="S93" s="31">
        <v>0.28916562889165626</v>
      </c>
      <c r="U93" s="31">
        <v>8.9239485213153072E-2</v>
      </c>
      <c r="V93" s="31">
        <v>1</v>
      </c>
      <c r="W93" s="31">
        <v>958</v>
      </c>
      <c r="X93" s="55">
        <v>685</v>
      </c>
      <c r="Z93" s="59">
        <v>0.96152992009333993</v>
      </c>
    </row>
    <row r="94" spans="2:26" s="63" customFormat="1" x14ac:dyDescent="0.55000000000000004">
      <c r="B94" s="15"/>
      <c r="E94" s="64"/>
      <c r="F94" s="64"/>
      <c r="G94" s="64"/>
      <c r="H94" s="64"/>
      <c r="P94" s="64"/>
      <c r="Q94" s="64"/>
      <c r="R94" s="64"/>
      <c r="X94" s="64"/>
      <c r="Y94" s="63" t="s">
        <v>59</v>
      </c>
      <c r="Z94" s="57">
        <v>0.96925714254700435</v>
      </c>
    </row>
    <row r="95" spans="2:26" s="61" customFormat="1" x14ac:dyDescent="0.55000000000000004">
      <c r="B95" s="178"/>
      <c r="E95" s="62"/>
      <c r="F95" s="62"/>
      <c r="G95" s="62"/>
      <c r="H95" s="62"/>
      <c r="P95" s="62"/>
      <c r="Q95" s="62"/>
      <c r="R95" s="62"/>
      <c r="X95" s="62"/>
      <c r="Z95" s="177"/>
    </row>
    <row r="96" spans="2:26" x14ac:dyDescent="0.55000000000000004">
      <c r="E96" s="55"/>
      <c r="F96" s="55"/>
      <c r="G96" s="55"/>
      <c r="H96" s="55"/>
      <c r="P96" s="55"/>
      <c r="Q96" s="55"/>
      <c r="R96" s="55"/>
      <c r="X96" s="55"/>
      <c r="Z96" s="59"/>
    </row>
    <row r="97" spans="1:33" x14ac:dyDescent="0.55000000000000004">
      <c r="A97" s="31" t="s">
        <v>203</v>
      </c>
      <c r="B97" s="11" t="s">
        <v>204</v>
      </c>
      <c r="C97" s="130" t="s">
        <v>348</v>
      </c>
      <c r="D97" s="156" t="s">
        <v>362</v>
      </c>
      <c r="E97" s="55">
        <v>0.47399999999999998</v>
      </c>
      <c r="F97" s="55">
        <v>0.317</v>
      </c>
      <c r="G97" s="55">
        <v>7.2999999999999995E-2</v>
      </c>
      <c r="H97" s="55">
        <v>2.222</v>
      </c>
      <c r="I97" s="31">
        <v>0.15359688917692807</v>
      </c>
      <c r="J97" s="31">
        <v>0.72002592352559946</v>
      </c>
      <c r="K97" s="31">
        <v>2.3655217109526894E-2</v>
      </c>
      <c r="L97" s="31">
        <v>0.10272197018794557</v>
      </c>
      <c r="N97" s="31" t="s">
        <v>360</v>
      </c>
      <c r="O97" s="11" t="s">
        <v>361</v>
      </c>
      <c r="P97" s="55">
        <v>0.93100000000000005</v>
      </c>
      <c r="Q97" s="55">
        <v>4.4999999999999998E-2</v>
      </c>
      <c r="R97" s="55">
        <v>6.0000000000000001E-3</v>
      </c>
      <c r="S97" s="31">
        <v>4.5824847250509157E-2</v>
      </c>
      <c r="U97" s="31">
        <v>0.13755542948623672</v>
      </c>
      <c r="V97" s="31">
        <v>1</v>
      </c>
      <c r="W97" s="31">
        <v>850</v>
      </c>
      <c r="X97" s="55">
        <v>577</v>
      </c>
      <c r="Z97" s="59">
        <v>0.75659092813655937</v>
      </c>
    </row>
    <row r="98" spans="1:33" x14ac:dyDescent="0.55000000000000004">
      <c r="C98" s="130" t="s">
        <v>349</v>
      </c>
      <c r="D98" s="156" t="s">
        <v>239</v>
      </c>
      <c r="E98" s="55">
        <v>0.50600000000000001</v>
      </c>
      <c r="F98" s="55">
        <v>0.312</v>
      </c>
      <c r="G98" s="55">
        <v>5.8000000000000003E-2</v>
      </c>
      <c r="H98" s="55">
        <v>2.1869999999999998</v>
      </c>
      <c r="I98" s="31">
        <v>0.16519751877244535</v>
      </c>
      <c r="J98" s="31">
        <v>0.71400587659157688</v>
      </c>
      <c r="K98" s="31">
        <v>1.893568396996409E-2</v>
      </c>
      <c r="L98" s="31">
        <v>0.10186092066601372</v>
      </c>
      <c r="N98" s="31" t="s">
        <v>360</v>
      </c>
      <c r="O98" s="11" t="s">
        <v>361</v>
      </c>
      <c r="P98" s="55">
        <v>0.93100000000000005</v>
      </c>
      <c r="Q98" s="55">
        <v>4.4999999999999998E-2</v>
      </c>
      <c r="R98" s="55">
        <v>6.0000000000000001E-3</v>
      </c>
      <c r="S98" s="31">
        <v>4.5824847250509157E-2</v>
      </c>
      <c r="U98" s="31">
        <v>7.0556968396655331E-2</v>
      </c>
      <c r="V98" s="31">
        <v>1</v>
      </c>
      <c r="W98" s="31">
        <v>850</v>
      </c>
      <c r="X98" s="55">
        <v>577</v>
      </c>
      <c r="Z98" s="59">
        <v>0.69336859130480211</v>
      </c>
    </row>
    <row r="99" spans="1:33" x14ac:dyDescent="0.55000000000000004">
      <c r="C99" s="130" t="s">
        <v>350</v>
      </c>
      <c r="D99" s="156" t="s">
        <v>240</v>
      </c>
      <c r="E99" s="55">
        <v>0.5</v>
      </c>
      <c r="F99" s="55">
        <v>0.31</v>
      </c>
      <c r="G99" s="55">
        <v>6.3E-2</v>
      </c>
      <c r="H99" s="55">
        <v>2.1880000000000002</v>
      </c>
      <c r="I99" s="31">
        <v>0.16334531198954591</v>
      </c>
      <c r="J99" s="31">
        <v>0.71479908526625291</v>
      </c>
      <c r="K99" s="31">
        <v>2.0581509310682783E-2</v>
      </c>
      <c r="L99" s="31">
        <v>0.10127409343351845</v>
      </c>
      <c r="N99" s="31" t="s">
        <v>360</v>
      </c>
      <c r="O99" s="11" t="s">
        <v>361</v>
      </c>
      <c r="P99" s="55">
        <v>0.93100000000000005</v>
      </c>
      <c r="Q99" s="55">
        <v>4.4999999999999998E-2</v>
      </c>
      <c r="R99" s="55">
        <v>6.0000000000000001E-3</v>
      </c>
      <c r="S99" s="31">
        <v>4.5824847250509157E-2</v>
      </c>
      <c r="U99" s="31">
        <v>9.0600080092610058E-2</v>
      </c>
      <c r="V99" s="31">
        <v>1</v>
      </c>
      <c r="W99" s="31">
        <v>850</v>
      </c>
      <c r="X99" s="55">
        <v>577</v>
      </c>
      <c r="Z99" s="59">
        <v>0.71704687277319856</v>
      </c>
    </row>
    <row r="100" spans="1:33" x14ac:dyDescent="0.55000000000000004">
      <c r="C100" s="130" t="s">
        <v>351</v>
      </c>
      <c r="D100" s="156" t="s">
        <v>241</v>
      </c>
      <c r="E100" s="55">
        <v>0.52200000000000002</v>
      </c>
      <c r="F100" s="55">
        <v>0.309</v>
      </c>
      <c r="G100" s="55">
        <v>6.3E-2</v>
      </c>
      <c r="H100" s="55">
        <v>2.1890000000000001</v>
      </c>
      <c r="I100" s="31">
        <v>0.16931560168666882</v>
      </c>
      <c r="J100" s="31">
        <v>0.71002270515731425</v>
      </c>
      <c r="K100" s="31">
        <v>2.0434641582873822E-2</v>
      </c>
      <c r="L100" s="31">
        <v>0.10022705157314303</v>
      </c>
      <c r="N100" s="31" t="s">
        <v>360</v>
      </c>
      <c r="O100" s="11" t="s">
        <v>361</v>
      </c>
      <c r="P100" s="55">
        <v>0.93100000000000005</v>
      </c>
      <c r="Q100" s="55">
        <v>4.4999999999999998E-2</v>
      </c>
      <c r="R100" s="55">
        <v>6.0000000000000001E-3</v>
      </c>
      <c r="S100" s="31">
        <v>4.5824847250509157E-2</v>
      </c>
      <c r="U100" s="31">
        <v>8.8674346431393769E-2</v>
      </c>
      <c r="V100" s="31">
        <v>1</v>
      </c>
      <c r="W100" s="31">
        <v>850</v>
      </c>
      <c r="X100" s="55">
        <v>577</v>
      </c>
      <c r="Z100" s="59">
        <v>0.71501229376513498</v>
      </c>
    </row>
    <row r="101" spans="1:33" x14ac:dyDescent="0.55000000000000004">
      <c r="C101" s="130" t="s">
        <v>352</v>
      </c>
      <c r="D101" s="156" t="s">
        <v>242</v>
      </c>
      <c r="E101" s="55">
        <v>0.52700000000000002</v>
      </c>
      <c r="F101" s="55">
        <v>0.30499999999999999</v>
      </c>
      <c r="G101" s="55">
        <v>5.2999999999999999E-2</v>
      </c>
      <c r="H101" s="55">
        <v>2.1800000000000002</v>
      </c>
      <c r="I101" s="31">
        <v>0.17194127243066884</v>
      </c>
      <c r="J101" s="31">
        <v>0.71125611745513861</v>
      </c>
      <c r="K101" s="31">
        <v>1.7292006525285477E-2</v>
      </c>
      <c r="L101" s="31">
        <v>9.9510603588906996E-2</v>
      </c>
      <c r="N101" s="31" t="s">
        <v>360</v>
      </c>
      <c r="O101" s="11" t="s">
        <v>361</v>
      </c>
      <c r="P101" s="55">
        <v>0.93100000000000005</v>
      </c>
      <c r="Q101" s="55">
        <v>4.4999999999999998E-2</v>
      </c>
      <c r="R101" s="55">
        <v>6.0000000000000001E-3</v>
      </c>
      <c r="S101" s="31">
        <v>4.5824847250509157E-2</v>
      </c>
      <c r="U101" s="31">
        <v>5.3732010911854755E-2</v>
      </c>
      <c r="V101" s="31">
        <v>1</v>
      </c>
      <c r="W101" s="31">
        <v>850</v>
      </c>
      <c r="X101" s="55">
        <v>577</v>
      </c>
      <c r="Z101" s="59">
        <v>0.66757122077790798</v>
      </c>
    </row>
    <row r="102" spans="1:33" x14ac:dyDescent="0.55000000000000004">
      <c r="C102" s="130" t="s">
        <v>353</v>
      </c>
      <c r="D102" s="156" t="s">
        <v>243</v>
      </c>
      <c r="E102" s="55">
        <v>0.53</v>
      </c>
      <c r="F102" s="55">
        <v>0.30299999999999999</v>
      </c>
      <c r="G102" s="55">
        <v>5.8000000000000003E-2</v>
      </c>
      <c r="H102" s="55">
        <v>2.206</v>
      </c>
      <c r="I102" s="31">
        <v>0.17113335485954151</v>
      </c>
      <c r="J102" s="31">
        <v>0.71230222796254439</v>
      </c>
      <c r="K102" s="31">
        <v>1.8727801097836616E-2</v>
      </c>
      <c r="L102" s="31">
        <v>9.7836616080077488E-2</v>
      </c>
      <c r="N102" s="31" t="s">
        <v>360</v>
      </c>
      <c r="O102" s="11" t="s">
        <v>361</v>
      </c>
      <c r="P102" s="55">
        <v>0.93100000000000005</v>
      </c>
      <c r="Q102" s="55">
        <v>4.4999999999999998E-2</v>
      </c>
      <c r="R102" s="55">
        <v>6.0000000000000001E-3</v>
      </c>
      <c r="S102" s="31">
        <v>4.5824847250509157E-2</v>
      </c>
      <c r="U102" s="31">
        <v>6.8258585870567184E-2</v>
      </c>
      <c r="V102" s="31">
        <v>1</v>
      </c>
      <c r="W102" s="31">
        <v>850</v>
      </c>
      <c r="X102" s="55">
        <v>577</v>
      </c>
      <c r="Z102" s="59">
        <v>0.6902323906256066</v>
      </c>
    </row>
    <row r="103" spans="1:33" x14ac:dyDescent="0.55000000000000004">
      <c r="C103" s="130" t="s">
        <v>354</v>
      </c>
      <c r="D103" s="156" t="s">
        <v>244</v>
      </c>
      <c r="E103" s="55">
        <v>0.53200000000000003</v>
      </c>
      <c r="F103" s="55">
        <v>0.29499999999999998</v>
      </c>
      <c r="G103" s="55">
        <v>5.8000000000000003E-2</v>
      </c>
      <c r="H103" s="55">
        <v>2.1909999999999998</v>
      </c>
      <c r="I103" s="31">
        <v>0.17295188556566973</v>
      </c>
      <c r="J103" s="31">
        <v>0.71228868660598188</v>
      </c>
      <c r="K103" s="31">
        <v>1.8855656697009105E-2</v>
      </c>
      <c r="L103" s="31">
        <v>9.590377113133941E-2</v>
      </c>
      <c r="N103" s="31" t="s">
        <v>360</v>
      </c>
      <c r="O103" s="11" t="s">
        <v>361</v>
      </c>
      <c r="P103" s="55">
        <v>0.93100000000000005</v>
      </c>
      <c r="Q103" s="55">
        <v>4.4999999999999998E-2</v>
      </c>
      <c r="R103" s="55">
        <v>6.0000000000000001E-3</v>
      </c>
      <c r="S103" s="31">
        <v>4.5824847250509157E-2</v>
      </c>
      <c r="U103" s="31">
        <v>6.9666165848770348E-2</v>
      </c>
      <c r="V103" s="31">
        <v>1</v>
      </c>
      <c r="W103" s="31">
        <v>850</v>
      </c>
      <c r="X103" s="55">
        <v>577</v>
      </c>
      <c r="Z103" s="59">
        <v>0.6921653642252793</v>
      </c>
    </row>
    <row r="104" spans="1:33" x14ac:dyDescent="0.55000000000000004">
      <c r="C104" s="130" t="s">
        <v>355</v>
      </c>
      <c r="D104" s="156" t="s">
        <v>245</v>
      </c>
      <c r="E104" s="55">
        <v>0.53600000000000003</v>
      </c>
      <c r="F104" s="55">
        <v>0.29899999999999999</v>
      </c>
      <c r="G104" s="55">
        <v>5.8000000000000003E-2</v>
      </c>
      <c r="H104" s="55">
        <v>2.1819999999999999</v>
      </c>
      <c r="I104" s="31">
        <v>0.1743089430894309</v>
      </c>
      <c r="J104" s="31">
        <v>0.70959349593495924</v>
      </c>
      <c r="K104" s="31">
        <v>1.8861788617886177E-2</v>
      </c>
      <c r="L104" s="31">
        <v>9.7235772357723571E-2</v>
      </c>
      <c r="N104" s="31" t="s">
        <v>360</v>
      </c>
      <c r="O104" s="11" t="s">
        <v>361</v>
      </c>
      <c r="P104" s="55">
        <v>0.93100000000000005</v>
      </c>
      <c r="Q104" s="55">
        <v>4.4999999999999998E-2</v>
      </c>
      <c r="R104" s="55">
        <v>6.0000000000000001E-3</v>
      </c>
      <c r="S104" s="31">
        <v>4.5824847250509157E-2</v>
      </c>
      <c r="U104" s="31">
        <v>6.9734154945324797E-2</v>
      </c>
      <c r="V104" s="31">
        <v>1</v>
      </c>
      <c r="W104" s="31">
        <v>850</v>
      </c>
      <c r="X104" s="55">
        <v>577</v>
      </c>
      <c r="Z104" s="59">
        <v>0.69225773944963398</v>
      </c>
    </row>
    <row r="105" spans="1:33" x14ac:dyDescent="0.55000000000000004">
      <c r="C105" s="130" t="s">
        <v>356</v>
      </c>
      <c r="D105" s="156" t="s">
        <v>246</v>
      </c>
      <c r="E105" s="55">
        <v>0.53100000000000003</v>
      </c>
      <c r="F105" s="55">
        <v>0.28899999999999998</v>
      </c>
      <c r="G105" s="55">
        <v>8.6999999999999994E-2</v>
      </c>
      <c r="H105" s="55">
        <v>2.17</v>
      </c>
      <c r="I105" s="31">
        <v>0.17257068573285669</v>
      </c>
      <c r="J105" s="31">
        <v>0.70523236919077026</v>
      </c>
      <c r="K105" s="31">
        <v>2.8274293142671433E-2</v>
      </c>
      <c r="L105" s="31">
        <v>9.3922651933701654E-2</v>
      </c>
      <c r="N105" s="31" t="s">
        <v>360</v>
      </c>
      <c r="O105" s="11" t="s">
        <v>361</v>
      </c>
      <c r="P105" s="55">
        <v>0.93100000000000005</v>
      </c>
      <c r="Q105" s="55">
        <v>4.4999999999999998E-2</v>
      </c>
      <c r="R105" s="55">
        <v>6.0000000000000001E-3</v>
      </c>
      <c r="S105" s="31">
        <v>4.5824847250509157E-2</v>
      </c>
      <c r="U105" s="31">
        <v>0.23489414473649406</v>
      </c>
      <c r="V105" s="31">
        <v>1</v>
      </c>
      <c r="W105" s="31">
        <v>850</v>
      </c>
      <c r="X105" s="55">
        <v>577</v>
      </c>
      <c r="Z105" s="59">
        <v>0.80726565624053104</v>
      </c>
    </row>
    <row r="106" spans="1:33" x14ac:dyDescent="0.55000000000000004">
      <c r="C106" s="130" t="s">
        <v>357</v>
      </c>
      <c r="D106" s="156" t="s">
        <v>247</v>
      </c>
      <c r="E106" s="55">
        <v>0.53500000000000003</v>
      </c>
      <c r="F106" s="55">
        <v>0.28399999999999997</v>
      </c>
      <c r="G106" s="55">
        <v>7.1999999999999995E-2</v>
      </c>
      <c r="H106" s="55">
        <v>2.1829999999999998</v>
      </c>
      <c r="I106" s="31">
        <v>0.17404033832140536</v>
      </c>
      <c r="J106" s="31">
        <v>0.71014964216005205</v>
      </c>
      <c r="K106" s="31">
        <v>2.3422251138581651E-2</v>
      </c>
      <c r="L106" s="31">
        <v>9.2387768379960961E-2</v>
      </c>
      <c r="N106" s="31" t="s">
        <v>360</v>
      </c>
      <c r="O106" s="11" t="s">
        <v>361</v>
      </c>
      <c r="P106" s="55">
        <v>0.93100000000000005</v>
      </c>
      <c r="Q106" s="55">
        <v>4.4999999999999998E-2</v>
      </c>
      <c r="R106" s="55">
        <v>6.0000000000000001E-3</v>
      </c>
      <c r="S106" s="31">
        <v>4.5824847250509157E-2</v>
      </c>
      <c r="U106" s="31">
        <v>0.13353122151015209</v>
      </c>
      <c r="V106" s="31">
        <v>1</v>
      </c>
      <c r="W106" s="31">
        <v>850</v>
      </c>
      <c r="X106" s="55">
        <v>577</v>
      </c>
      <c r="Z106" s="59">
        <v>0.75377912983582152</v>
      </c>
    </row>
    <row r="107" spans="1:33" s="54" customFormat="1" x14ac:dyDescent="0.55000000000000004">
      <c r="B107" s="6"/>
      <c r="C107" s="130" t="s">
        <v>358</v>
      </c>
      <c r="D107" s="156" t="s">
        <v>250</v>
      </c>
      <c r="E107" s="55">
        <v>0.53900000000000003</v>
      </c>
      <c r="F107" s="55">
        <v>0.29399999999999998</v>
      </c>
      <c r="G107" s="55">
        <v>6.7000000000000004E-2</v>
      </c>
      <c r="H107" s="55">
        <v>2.1760000000000002</v>
      </c>
      <c r="I107" s="54">
        <v>0.17522756827048117</v>
      </c>
      <c r="J107" s="54">
        <v>0.70741222366710022</v>
      </c>
      <c r="K107" s="54">
        <v>2.1781534460338103E-2</v>
      </c>
      <c r="L107" s="54">
        <v>9.557867360208061E-2</v>
      </c>
      <c r="N107" s="31" t="s">
        <v>360</v>
      </c>
      <c r="O107" s="11" t="s">
        <v>361</v>
      </c>
      <c r="P107" s="55">
        <v>0.93100000000000005</v>
      </c>
      <c r="Q107" s="55">
        <v>4.4999999999999998E-2</v>
      </c>
      <c r="R107" s="55">
        <v>6.0000000000000001E-3</v>
      </c>
      <c r="S107" s="31">
        <v>4.5824847250509157E-2</v>
      </c>
      <c r="U107" s="54">
        <v>0.10738962769677779</v>
      </c>
      <c r="V107" s="54">
        <v>1</v>
      </c>
      <c r="W107" s="54">
        <v>850</v>
      </c>
      <c r="X107" s="55">
        <v>577</v>
      </c>
      <c r="Z107" s="60">
        <v>0.73314667809801481</v>
      </c>
      <c r="AG107" s="63"/>
    </row>
    <row r="108" spans="1:33" s="54" customFormat="1" x14ac:dyDescent="0.55000000000000004">
      <c r="B108" s="6"/>
      <c r="C108" s="130"/>
      <c r="D108" s="156"/>
      <c r="E108" s="55"/>
      <c r="F108" s="55"/>
      <c r="G108" s="55"/>
      <c r="H108" s="55"/>
      <c r="P108" s="55"/>
      <c r="Q108" s="55"/>
      <c r="R108" s="55"/>
      <c r="X108" s="55"/>
      <c r="Y108" s="54" t="s">
        <v>59</v>
      </c>
      <c r="Z108" s="57">
        <v>0.71985789683931733</v>
      </c>
      <c r="AG108" s="63"/>
    </row>
    <row r="109" spans="1:33" x14ac:dyDescent="0.55000000000000004">
      <c r="C109" s="58"/>
      <c r="D109" s="58"/>
      <c r="E109" s="55"/>
      <c r="F109" s="55"/>
      <c r="G109" s="55"/>
      <c r="H109" s="55"/>
      <c r="P109" s="55"/>
      <c r="Q109" s="55"/>
      <c r="R109" s="55"/>
      <c r="X109" s="55"/>
      <c r="Z109" s="59"/>
    </row>
    <row r="110" spans="1:33" x14ac:dyDescent="0.55000000000000004">
      <c r="B110" s="11" t="s">
        <v>84</v>
      </c>
      <c r="C110" s="130" t="s">
        <v>337</v>
      </c>
      <c r="D110" s="84" t="s">
        <v>278</v>
      </c>
      <c r="E110" s="55">
        <v>0.55900000000000005</v>
      </c>
      <c r="F110" s="55">
        <v>0.27200000000000002</v>
      </c>
      <c r="G110" s="55">
        <v>5.7000000000000002E-2</v>
      </c>
      <c r="H110" s="55">
        <v>2.1930000000000001</v>
      </c>
      <c r="I110" s="31">
        <v>0.18143459915611815</v>
      </c>
      <c r="J110" s="31">
        <v>0.71178188899707884</v>
      </c>
      <c r="K110" s="31">
        <v>1.8500486854917234E-2</v>
      </c>
      <c r="L110" s="31">
        <v>8.8283024991885742E-2</v>
      </c>
      <c r="N110" s="31" t="s">
        <v>359</v>
      </c>
      <c r="O110" s="11" t="s">
        <v>255</v>
      </c>
      <c r="P110" s="55">
        <v>0.91100000000000003</v>
      </c>
      <c r="Q110" s="55">
        <v>6.25E-2</v>
      </c>
      <c r="R110" s="55">
        <v>1.0999999999999999E-2</v>
      </c>
      <c r="S110" s="31">
        <v>6.348400203148806E-2</v>
      </c>
      <c r="U110" s="31">
        <v>2.4748938784617782E-2</v>
      </c>
      <c r="V110" s="31">
        <v>1</v>
      </c>
      <c r="W110" s="31">
        <v>887</v>
      </c>
      <c r="X110" s="55">
        <v>614</v>
      </c>
      <c r="Z110" s="59">
        <v>0.67840628831427419</v>
      </c>
    </row>
    <row r="111" spans="1:33" x14ac:dyDescent="0.55000000000000004">
      <c r="C111" s="130" t="s">
        <v>338</v>
      </c>
      <c r="D111" s="84" t="s">
        <v>274</v>
      </c>
      <c r="E111" s="55">
        <v>0.56100000000000005</v>
      </c>
      <c r="F111" s="55">
        <v>0.27300000000000002</v>
      </c>
      <c r="G111" s="55">
        <v>4.8000000000000001E-2</v>
      </c>
      <c r="H111" s="55">
        <v>2.2109999999999999</v>
      </c>
      <c r="I111" s="31">
        <v>0.18137730358874882</v>
      </c>
      <c r="J111" s="31">
        <v>0.71483996120271576</v>
      </c>
      <c r="K111" s="31">
        <v>1.5518913676042677E-2</v>
      </c>
      <c r="L111" s="31">
        <v>8.8263821532492737E-2</v>
      </c>
      <c r="N111" s="31" t="s">
        <v>359</v>
      </c>
      <c r="O111" s="11" t="s">
        <v>255</v>
      </c>
      <c r="P111" s="55">
        <v>0.91100000000000003</v>
      </c>
      <c r="Q111" s="55">
        <v>6.25E-2</v>
      </c>
      <c r="R111" s="55">
        <v>1.0999999999999999E-2</v>
      </c>
      <c r="S111" s="31">
        <v>6.348400203148806E-2</v>
      </c>
      <c r="U111" s="31">
        <v>1.4608010135157527E-2</v>
      </c>
      <c r="V111" s="31">
        <v>1</v>
      </c>
      <c r="W111" s="31">
        <v>887</v>
      </c>
      <c r="X111" s="55">
        <v>614</v>
      </c>
      <c r="Z111" s="59">
        <v>0.62847925575289543</v>
      </c>
    </row>
    <row r="112" spans="1:33" x14ac:dyDescent="0.55000000000000004">
      <c r="C112" s="130" t="s">
        <v>339</v>
      </c>
      <c r="D112" s="84" t="s">
        <v>273</v>
      </c>
      <c r="E112" s="55">
        <v>0.56200000000000006</v>
      </c>
      <c r="F112" s="55">
        <v>0.27400000000000002</v>
      </c>
      <c r="G112" s="55">
        <v>5.2999999999999999E-2</v>
      </c>
      <c r="H112" s="55">
        <v>2.2000000000000002</v>
      </c>
      <c r="I112" s="31">
        <v>0.18193590158627387</v>
      </c>
      <c r="J112" s="31">
        <v>0.71220459695694394</v>
      </c>
      <c r="K112" s="31">
        <v>1.7157656199417285E-2</v>
      </c>
      <c r="L112" s="31">
        <v>8.8701845257364839E-2</v>
      </c>
      <c r="N112" s="31" t="s">
        <v>359</v>
      </c>
      <c r="O112" s="11" t="s">
        <v>255</v>
      </c>
      <c r="P112" s="55">
        <v>0.91100000000000003</v>
      </c>
      <c r="Q112" s="55">
        <v>6.25E-2</v>
      </c>
      <c r="R112" s="55">
        <v>1.0999999999999999E-2</v>
      </c>
      <c r="S112" s="31">
        <v>6.348400203148806E-2</v>
      </c>
      <c r="U112" s="31">
        <v>1.974153841567132E-2</v>
      </c>
      <c r="V112" s="31">
        <v>1</v>
      </c>
      <c r="W112" s="31">
        <v>887</v>
      </c>
      <c r="X112" s="55">
        <v>614</v>
      </c>
      <c r="Z112" s="59">
        <v>0.65699862925578068</v>
      </c>
    </row>
    <row r="113" spans="1:27" x14ac:dyDescent="0.55000000000000004">
      <c r="C113" s="130" t="s">
        <v>340</v>
      </c>
      <c r="D113" s="84" t="s">
        <v>272</v>
      </c>
      <c r="E113" s="55">
        <v>0.55500000000000005</v>
      </c>
      <c r="F113" s="55">
        <v>0.27300000000000002</v>
      </c>
      <c r="G113" s="55">
        <v>5.7000000000000002E-2</v>
      </c>
      <c r="H113" s="55">
        <v>2.206</v>
      </c>
      <c r="I113" s="31">
        <v>0.1795535425428664</v>
      </c>
      <c r="J113" s="31">
        <v>0.71368489162083459</v>
      </c>
      <c r="K113" s="31">
        <v>1.8440634098997089E-2</v>
      </c>
      <c r="L113" s="31">
        <v>8.832093173730185E-2</v>
      </c>
      <c r="N113" s="31" t="s">
        <v>359</v>
      </c>
      <c r="O113" s="11" t="s">
        <v>255</v>
      </c>
      <c r="P113" s="55">
        <v>0.91100000000000003</v>
      </c>
      <c r="Q113" s="55">
        <v>6.25E-2</v>
      </c>
      <c r="R113" s="55">
        <v>1.0999999999999999E-2</v>
      </c>
      <c r="S113" s="31">
        <v>6.348400203148806E-2</v>
      </c>
      <c r="U113" s="31">
        <v>2.4509511828404506E-2</v>
      </c>
      <c r="V113" s="31">
        <v>1</v>
      </c>
      <c r="W113" s="31">
        <v>887</v>
      </c>
      <c r="X113" s="55">
        <v>614</v>
      </c>
      <c r="Z113" s="59">
        <v>0.67748567830585327</v>
      </c>
    </row>
    <row r="114" spans="1:27" x14ac:dyDescent="0.55000000000000004">
      <c r="C114" s="130" t="s">
        <v>341</v>
      </c>
      <c r="D114" s="84" t="s">
        <v>271</v>
      </c>
      <c r="E114" s="55">
        <v>0.56100000000000005</v>
      </c>
      <c r="F114" s="55">
        <v>0.27300000000000002</v>
      </c>
      <c r="G114" s="55">
        <v>6.2E-2</v>
      </c>
      <c r="H114" s="55">
        <v>2.2010000000000001</v>
      </c>
      <c r="I114" s="31">
        <v>0.18114304165321277</v>
      </c>
      <c r="J114" s="31">
        <v>0.71068776235066189</v>
      </c>
      <c r="K114" s="31">
        <v>2.0019373587342588E-2</v>
      </c>
      <c r="L114" s="31">
        <v>8.8149822408782691E-2</v>
      </c>
      <c r="N114" s="31" t="s">
        <v>359</v>
      </c>
      <c r="O114" s="11" t="s">
        <v>255</v>
      </c>
      <c r="P114" s="55">
        <v>0.91100000000000003</v>
      </c>
      <c r="Q114" s="55">
        <v>6.25E-2</v>
      </c>
      <c r="R114" s="55">
        <v>1.0999999999999999E-2</v>
      </c>
      <c r="S114" s="31">
        <v>6.348400203148806E-2</v>
      </c>
      <c r="U114" s="31">
        <v>3.1358736930126217E-2</v>
      </c>
      <c r="V114" s="31">
        <v>1</v>
      </c>
      <c r="W114" s="31">
        <v>887</v>
      </c>
      <c r="X114" s="55">
        <v>614</v>
      </c>
      <c r="Z114" s="59">
        <v>0.70082275443471553</v>
      </c>
    </row>
    <row r="115" spans="1:27" x14ac:dyDescent="0.55000000000000004">
      <c r="C115" s="130" t="s">
        <v>342</v>
      </c>
      <c r="D115" s="84" t="s">
        <v>270</v>
      </c>
      <c r="E115" s="55">
        <v>0.56000000000000005</v>
      </c>
      <c r="F115" s="55">
        <v>0.27300000000000002</v>
      </c>
      <c r="G115" s="55">
        <v>6.2E-2</v>
      </c>
      <c r="H115" s="55">
        <v>2.1909999999999998</v>
      </c>
      <c r="I115" s="31">
        <v>0.18146467919637074</v>
      </c>
      <c r="J115" s="31">
        <v>0.70998055735580035</v>
      </c>
      <c r="K115" s="31">
        <v>2.0090732339598186E-2</v>
      </c>
      <c r="L115" s="31">
        <v>8.8464031108230728E-2</v>
      </c>
      <c r="N115" s="31" t="s">
        <v>359</v>
      </c>
      <c r="O115" s="11" t="s">
        <v>255</v>
      </c>
      <c r="P115" s="55">
        <v>0.91100000000000003</v>
      </c>
      <c r="Q115" s="55">
        <v>6.25E-2</v>
      </c>
      <c r="R115" s="55">
        <v>1.0999999999999999E-2</v>
      </c>
      <c r="S115" s="31">
        <v>6.348400203148806E-2</v>
      </c>
      <c r="U115" s="31">
        <v>3.169526686105658E-2</v>
      </c>
      <c r="V115" s="31">
        <v>1</v>
      </c>
      <c r="W115" s="31">
        <v>887</v>
      </c>
      <c r="X115" s="55">
        <v>614</v>
      </c>
      <c r="Z115" s="59">
        <v>0.70183362401164795</v>
      </c>
    </row>
    <row r="116" spans="1:27" x14ac:dyDescent="0.55000000000000004">
      <c r="C116" s="130" t="s">
        <v>343</v>
      </c>
      <c r="D116" s="84" t="s">
        <v>269</v>
      </c>
      <c r="E116" s="55">
        <v>0.56000000000000005</v>
      </c>
      <c r="F116" s="55">
        <v>0.27800000000000002</v>
      </c>
      <c r="G116" s="55">
        <v>5.7000000000000002E-2</v>
      </c>
      <c r="H116" s="55">
        <v>2.2040000000000002</v>
      </c>
      <c r="I116" s="31">
        <v>0.18070345272668603</v>
      </c>
      <c r="J116" s="31">
        <v>0.71119716037431435</v>
      </c>
      <c r="K116" s="31">
        <v>1.8393030009680542E-2</v>
      </c>
      <c r="L116" s="31">
        <v>8.9706356889319133E-2</v>
      </c>
      <c r="N116" s="31" t="s">
        <v>359</v>
      </c>
      <c r="O116" s="11" t="s">
        <v>255</v>
      </c>
      <c r="P116" s="55">
        <v>0.91100000000000003</v>
      </c>
      <c r="Q116" s="55">
        <v>6.25E-2</v>
      </c>
      <c r="R116" s="55">
        <v>1.0999999999999999E-2</v>
      </c>
      <c r="S116" s="31">
        <v>6.348400203148806E-2</v>
      </c>
      <c r="U116" s="31">
        <v>2.4320189113907695E-2</v>
      </c>
      <c r="V116" s="31">
        <v>1</v>
      </c>
      <c r="W116" s="31">
        <v>887</v>
      </c>
      <c r="X116" s="55">
        <v>614</v>
      </c>
      <c r="Z116" s="59">
        <v>0.67675133217808836</v>
      </c>
    </row>
    <row r="117" spans="1:27" x14ac:dyDescent="0.55000000000000004">
      <c r="C117" s="130" t="s">
        <v>344</v>
      </c>
      <c r="D117" s="84" t="s">
        <v>268</v>
      </c>
      <c r="E117" s="55">
        <v>0.55800000000000005</v>
      </c>
      <c r="F117" s="55">
        <v>0.26700000000000002</v>
      </c>
      <c r="G117" s="55">
        <v>6.7000000000000004E-2</v>
      </c>
      <c r="H117" s="55">
        <v>2.1859999999999999</v>
      </c>
      <c r="I117" s="31">
        <v>0.18128654970760233</v>
      </c>
      <c r="J117" s="31">
        <v>0.71020142949967502</v>
      </c>
      <c r="K117" s="31">
        <v>2.1767381416504222E-2</v>
      </c>
      <c r="L117" s="31">
        <v>8.6744639376218319E-2</v>
      </c>
      <c r="N117" s="31" t="s">
        <v>359</v>
      </c>
      <c r="O117" s="11" t="s">
        <v>255</v>
      </c>
      <c r="P117" s="55">
        <v>0.91100000000000003</v>
      </c>
      <c r="Q117" s="55">
        <v>6.25E-2</v>
      </c>
      <c r="R117" s="55">
        <v>1.0999999999999999E-2</v>
      </c>
      <c r="S117" s="31">
        <v>6.348400203148806E-2</v>
      </c>
      <c r="U117" s="31">
        <v>4.0311194839966751E-2</v>
      </c>
      <c r="V117" s="31">
        <v>1</v>
      </c>
      <c r="W117" s="31">
        <v>887</v>
      </c>
      <c r="X117" s="55">
        <v>614</v>
      </c>
      <c r="Z117" s="59">
        <v>0.72460536202205927</v>
      </c>
    </row>
    <row r="118" spans="1:27" x14ac:dyDescent="0.55000000000000004">
      <c r="C118" s="130" t="s">
        <v>345</v>
      </c>
      <c r="D118" s="84" t="s">
        <v>267</v>
      </c>
      <c r="E118" s="55">
        <v>0.56000000000000005</v>
      </c>
      <c r="F118" s="55">
        <v>0.26300000000000001</v>
      </c>
      <c r="G118" s="55">
        <v>5.2999999999999999E-2</v>
      </c>
      <c r="H118" s="55">
        <v>2.2000000000000002</v>
      </c>
      <c r="I118" s="31">
        <v>0.18205461638491546</v>
      </c>
      <c r="J118" s="31">
        <v>0.71521456436931075</v>
      </c>
      <c r="K118" s="31">
        <v>1.723016905071521E-2</v>
      </c>
      <c r="L118" s="31">
        <v>8.5500650195058508E-2</v>
      </c>
      <c r="N118" s="31" t="s">
        <v>359</v>
      </c>
      <c r="O118" s="11" t="s">
        <v>255</v>
      </c>
      <c r="P118" s="55">
        <v>0.91100000000000003</v>
      </c>
      <c r="Q118" s="55">
        <v>6.25E-2</v>
      </c>
      <c r="R118" s="55">
        <v>1.0999999999999999E-2</v>
      </c>
      <c r="S118" s="31">
        <v>6.348400203148806E-2</v>
      </c>
      <c r="U118" s="31">
        <v>1.9992896826043355E-2</v>
      </c>
      <c r="V118" s="31">
        <v>1</v>
      </c>
      <c r="W118" s="31">
        <v>887</v>
      </c>
      <c r="X118" s="55">
        <v>614</v>
      </c>
      <c r="Z118" s="59">
        <v>0.65819678188323538</v>
      </c>
    </row>
    <row r="119" spans="1:27" x14ac:dyDescent="0.55000000000000004">
      <c r="C119" s="130" t="s">
        <v>346</v>
      </c>
      <c r="D119" s="84" t="s">
        <v>266</v>
      </c>
      <c r="E119" s="55">
        <v>0.56399999999999995</v>
      </c>
      <c r="F119" s="55">
        <v>0.26300000000000001</v>
      </c>
      <c r="G119" s="55">
        <v>4.8000000000000001E-2</v>
      </c>
      <c r="H119" s="55">
        <v>2.202</v>
      </c>
      <c r="I119" s="31">
        <v>0.18329541761455961</v>
      </c>
      <c r="J119" s="31">
        <v>0.71563210919727005</v>
      </c>
      <c r="K119" s="31">
        <v>1.5599610009749756E-2</v>
      </c>
      <c r="L119" s="31">
        <v>8.5472863178420538E-2</v>
      </c>
      <c r="N119" s="31" t="s">
        <v>359</v>
      </c>
      <c r="O119" s="11" t="s">
        <v>255</v>
      </c>
      <c r="P119" s="55">
        <v>0.91100000000000003</v>
      </c>
      <c r="Q119" s="55">
        <v>6.25E-2</v>
      </c>
      <c r="R119" s="55">
        <v>1.0999999999999999E-2</v>
      </c>
      <c r="S119" s="31">
        <v>6.348400203148806E-2</v>
      </c>
      <c r="U119" s="31">
        <v>1.48370763926678E-2</v>
      </c>
      <c r="V119" s="31">
        <v>1</v>
      </c>
      <c r="W119" s="31">
        <v>887</v>
      </c>
      <c r="X119" s="55">
        <v>614</v>
      </c>
      <c r="Z119" s="59">
        <v>0.62995271124373164</v>
      </c>
    </row>
    <row r="120" spans="1:27" x14ac:dyDescent="0.55000000000000004">
      <c r="C120" s="130" t="s">
        <v>347</v>
      </c>
      <c r="D120" s="84" t="s">
        <v>324</v>
      </c>
      <c r="E120" s="55">
        <v>0.55900000000000005</v>
      </c>
      <c r="F120" s="55">
        <v>0.25800000000000001</v>
      </c>
      <c r="G120" s="55">
        <v>5.7000000000000002E-2</v>
      </c>
      <c r="H120" s="55">
        <v>2.2040000000000002</v>
      </c>
      <c r="I120" s="31">
        <v>0.1816114359974009</v>
      </c>
      <c r="J120" s="31">
        <v>0.71604938271604934</v>
      </c>
      <c r="K120" s="31">
        <v>1.8518518518518517E-2</v>
      </c>
      <c r="L120" s="31">
        <v>8.3820662768031184E-2</v>
      </c>
      <c r="N120" s="31" t="s">
        <v>359</v>
      </c>
      <c r="O120" s="11" t="s">
        <v>255</v>
      </c>
      <c r="P120" s="55">
        <v>0.91100000000000003</v>
      </c>
      <c r="Q120" s="55">
        <v>6.25E-2</v>
      </c>
      <c r="R120" s="55">
        <v>1.0999999999999999E-2</v>
      </c>
      <c r="S120" s="31">
        <v>6.348400203148806E-2</v>
      </c>
      <c r="U120" s="31">
        <v>2.4821374657115283E-2</v>
      </c>
      <c r="V120" s="31">
        <v>1</v>
      </c>
      <c r="W120" s="31">
        <v>887</v>
      </c>
      <c r="X120" s="55">
        <v>614</v>
      </c>
      <c r="Z120" s="59">
        <v>0.6786830540448815</v>
      </c>
    </row>
    <row r="121" spans="1:27" s="63" customFormat="1" x14ac:dyDescent="0.55000000000000004">
      <c r="B121" s="15"/>
      <c r="E121" s="64"/>
      <c r="F121" s="64"/>
      <c r="G121" s="64"/>
      <c r="H121" s="64"/>
      <c r="P121" s="64"/>
      <c r="Q121" s="64"/>
      <c r="R121" s="64"/>
      <c r="X121" s="64"/>
      <c r="Y121" s="63" t="s">
        <v>59</v>
      </c>
      <c r="Z121" s="57">
        <v>0.67383777013156032</v>
      </c>
    </row>
    <row r="122" spans="1:27" s="61" customFormat="1" x14ac:dyDescent="0.55000000000000004">
      <c r="B122" s="178"/>
      <c r="E122" s="62"/>
      <c r="F122" s="62"/>
      <c r="G122" s="62"/>
      <c r="H122" s="62"/>
      <c r="P122" s="62"/>
      <c r="Q122" s="62"/>
      <c r="R122" s="62"/>
      <c r="X122" s="62"/>
      <c r="Z122" s="177"/>
    </row>
    <row r="123" spans="1:27" x14ac:dyDescent="0.55000000000000004">
      <c r="E123" s="55"/>
      <c r="F123" s="55"/>
      <c r="G123" s="55"/>
      <c r="H123" s="55"/>
      <c r="P123" s="55"/>
      <c r="Q123" s="55"/>
      <c r="R123" s="55"/>
      <c r="X123" s="55"/>
      <c r="Z123" s="59"/>
    </row>
    <row r="124" spans="1:27" x14ac:dyDescent="0.55000000000000004">
      <c r="A124" s="31" t="s">
        <v>68</v>
      </c>
      <c r="B124" s="11" t="s">
        <v>204</v>
      </c>
      <c r="C124" s="82" t="s">
        <v>367</v>
      </c>
      <c r="D124" s="156" t="s">
        <v>362</v>
      </c>
      <c r="E124" s="55">
        <v>0.21199999999999999</v>
      </c>
      <c r="F124" s="55">
        <v>0.21199999999999999</v>
      </c>
      <c r="G124" s="55">
        <v>0.114</v>
      </c>
      <c r="H124" s="55">
        <v>2.4020000000000001</v>
      </c>
      <c r="I124" s="31">
        <v>7.2108843537414952E-2</v>
      </c>
      <c r="J124" s="31">
        <v>0.81700680272108839</v>
      </c>
      <c r="K124" s="31">
        <v>3.8775510204081626E-2</v>
      </c>
      <c r="L124" s="31">
        <v>7.2108843537414952E-2</v>
      </c>
      <c r="N124" s="54" t="s">
        <v>62</v>
      </c>
      <c r="O124" s="6" t="s">
        <v>377</v>
      </c>
      <c r="P124" s="55">
        <v>0.74199999999999999</v>
      </c>
      <c r="Q124" s="55">
        <v>0.22500000000000001</v>
      </c>
      <c r="R124" s="55">
        <v>6.0000000000000001E-3</v>
      </c>
      <c r="S124" s="31">
        <v>0.23124357656731759</v>
      </c>
      <c r="U124" s="31">
        <v>4.714802761656805E-3</v>
      </c>
      <c r="V124" s="31">
        <v>1</v>
      </c>
      <c r="W124" s="31">
        <v>873</v>
      </c>
      <c r="X124" s="55">
        <v>600</v>
      </c>
      <c r="Z124" s="60">
        <v>0.48950853585111653</v>
      </c>
      <c r="AA124" s="58"/>
    </row>
    <row r="125" spans="1:27" x14ac:dyDescent="0.55000000000000004">
      <c r="C125" s="82" t="s">
        <v>368</v>
      </c>
      <c r="D125" s="156" t="s">
        <v>239</v>
      </c>
      <c r="E125" s="55">
        <v>0.24399999999999999</v>
      </c>
      <c r="F125" s="55">
        <v>0.21099999999999999</v>
      </c>
      <c r="G125" s="55">
        <v>0.11</v>
      </c>
      <c r="H125" s="55">
        <v>2.395</v>
      </c>
      <c r="I125" s="31">
        <v>8.2432432432432437E-2</v>
      </c>
      <c r="J125" s="31">
        <v>0.8091216216216216</v>
      </c>
      <c r="K125" s="31">
        <v>3.7162162162162164E-2</v>
      </c>
      <c r="L125" s="31">
        <v>7.1283783783783777E-2</v>
      </c>
      <c r="N125" s="54" t="s">
        <v>62</v>
      </c>
      <c r="O125" s="6" t="s">
        <v>377</v>
      </c>
      <c r="P125" s="55">
        <v>0.74199999999999999</v>
      </c>
      <c r="Q125" s="55">
        <v>0.22500000000000001</v>
      </c>
      <c r="R125" s="55">
        <v>6.0000000000000001E-3</v>
      </c>
      <c r="S125" s="31">
        <v>0.23124357656731759</v>
      </c>
      <c r="U125" s="31">
        <v>4.1504375995148092E-3</v>
      </c>
      <c r="V125" s="31">
        <v>1</v>
      </c>
      <c r="W125" s="31">
        <v>873</v>
      </c>
      <c r="X125" s="55">
        <v>600</v>
      </c>
      <c r="Z125" s="60">
        <v>0.47743491951131978</v>
      </c>
      <c r="AA125" s="58"/>
    </row>
    <row r="126" spans="1:27" x14ac:dyDescent="0.55000000000000004">
      <c r="C126" s="82" t="s">
        <v>369</v>
      </c>
      <c r="D126" s="156" t="s">
        <v>240</v>
      </c>
      <c r="E126" s="55">
        <v>0.27300000000000002</v>
      </c>
      <c r="F126" s="55">
        <v>0.19700000000000001</v>
      </c>
      <c r="G126" s="55">
        <v>0.11</v>
      </c>
      <c r="H126" s="55">
        <v>2.4159999999999999</v>
      </c>
      <c r="I126" s="31">
        <v>9.1121495327102814E-2</v>
      </c>
      <c r="J126" s="31">
        <v>0.80640854472630175</v>
      </c>
      <c r="K126" s="31">
        <v>3.6715620827770364E-2</v>
      </c>
      <c r="L126" s="31">
        <v>6.5754339118825098E-2</v>
      </c>
      <c r="N126" s="54" t="s">
        <v>62</v>
      </c>
      <c r="O126" s="6" t="s">
        <v>377</v>
      </c>
      <c r="P126" s="55">
        <v>0.74199999999999999</v>
      </c>
      <c r="Q126" s="55">
        <v>0.22500000000000001</v>
      </c>
      <c r="R126" s="55">
        <v>6.0000000000000001E-3</v>
      </c>
      <c r="S126" s="31">
        <v>0.23124357656731759</v>
      </c>
      <c r="U126" s="31">
        <v>4.0026129381509233E-3</v>
      </c>
      <c r="V126" s="31">
        <v>1</v>
      </c>
      <c r="W126" s="31">
        <v>873</v>
      </c>
      <c r="X126" s="55">
        <v>600</v>
      </c>
      <c r="Z126" s="60">
        <v>0.47400049219299067</v>
      </c>
      <c r="AA126" s="58"/>
    </row>
    <row r="127" spans="1:27" x14ac:dyDescent="0.55000000000000004">
      <c r="C127" s="82" t="s">
        <v>370</v>
      </c>
      <c r="D127" s="156" t="s">
        <v>241</v>
      </c>
      <c r="E127" s="55">
        <v>0.27300000000000002</v>
      </c>
      <c r="F127" s="55">
        <v>0.17699999999999999</v>
      </c>
      <c r="G127" s="55">
        <v>0.11</v>
      </c>
      <c r="H127" s="55">
        <v>2.4260000000000002</v>
      </c>
      <c r="I127" s="31">
        <v>9.1426657736101813E-2</v>
      </c>
      <c r="J127" s="31">
        <v>0.8124581379772271</v>
      </c>
      <c r="K127" s="31">
        <v>3.6838580040187537E-2</v>
      </c>
      <c r="L127" s="31">
        <v>5.9276624246483584E-2</v>
      </c>
      <c r="N127" s="54" t="s">
        <v>62</v>
      </c>
      <c r="O127" s="6" t="s">
        <v>377</v>
      </c>
      <c r="P127" s="55">
        <v>0.74199999999999999</v>
      </c>
      <c r="Q127" s="55">
        <v>0.22500000000000001</v>
      </c>
      <c r="R127" s="55">
        <v>6.0000000000000001E-3</v>
      </c>
      <c r="S127" s="31">
        <v>0.23124357656731759</v>
      </c>
      <c r="U127" s="31">
        <v>4.042961556703137E-3</v>
      </c>
      <c r="V127" s="31">
        <v>1</v>
      </c>
      <c r="W127" s="31">
        <v>873</v>
      </c>
      <c r="X127" s="55">
        <v>600</v>
      </c>
      <c r="Z127" s="60">
        <v>0.47495034262642932</v>
      </c>
      <c r="AA127" s="58"/>
    </row>
    <row r="128" spans="1:27" x14ac:dyDescent="0.55000000000000004">
      <c r="C128" s="82" t="s">
        <v>371</v>
      </c>
      <c r="D128" s="156" t="s">
        <v>242</v>
      </c>
      <c r="E128" s="55">
        <v>0.28199999999999997</v>
      </c>
      <c r="F128" s="55">
        <v>0.182</v>
      </c>
      <c r="G128" s="55">
        <v>0.11</v>
      </c>
      <c r="H128" s="55">
        <v>2.4060000000000001</v>
      </c>
      <c r="I128" s="31">
        <v>9.4630872483221468E-2</v>
      </c>
      <c r="J128" s="31">
        <v>0.80738255033557049</v>
      </c>
      <c r="K128" s="31">
        <v>3.6912751677852351E-2</v>
      </c>
      <c r="L128" s="31">
        <v>6.1073825503355703E-2</v>
      </c>
      <c r="N128" s="54" t="s">
        <v>62</v>
      </c>
      <c r="O128" s="6" t="s">
        <v>377</v>
      </c>
      <c r="P128" s="55">
        <v>0.74199999999999999</v>
      </c>
      <c r="Q128" s="55">
        <v>0.22500000000000001</v>
      </c>
      <c r="R128" s="55">
        <v>6.0000000000000001E-3</v>
      </c>
      <c r="S128" s="31">
        <v>0.23124357656731759</v>
      </c>
      <c r="U128" s="31">
        <v>4.0674313318029721E-3</v>
      </c>
      <c r="V128" s="31">
        <v>1</v>
      </c>
      <c r="W128" s="31">
        <v>873</v>
      </c>
      <c r="X128" s="55">
        <v>600</v>
      </c>
      <c r="Z128" s="60">
        <v>0.47552178096859998</v>
      </c>
      <c r="AA128" s="58"/>
    </row>
    <row r="129" spans="1:27" x14ac:dyDescent="0.55000000000000004">
      <c r="C129" s="82" t="s">
        <v>372</v>
      </c>
      <c r="D129" s="156" t="s">
        <v>243</v>
      </c>
      <c r="E129" s="55">
        <v>0.30099999999999999</v>
      </c>
      <c r="F129" s="55">
        <v>0.17699999999999999</v>
      </c>
      <c r="G129" s="55">
        <v>0.11</v>
      </c>
      <c r="H129" s="55">
        <v>2.4020000000000001</v>
      </c>
      <c r="I129" s="31">
        <v>0.10066889632107022</v>
      </c>
      <c r="J129" s="31">
        <v>0.80334448160535121</v>
      </c>
      <c r="K129" s="31">
        <v>3.6789297658862873E-2</v>
      </c>
      <c r="L129" s="31">
        <v>5.9197324414715709E-2</v>
      </c>
      <c r="N129" s="54" t="s">
        <v>62</v>
      </c>
      <c r="O129" s="6" t="s">
        <v>377</v>
      </c>
      <c r="P129" s="55">
        <v>0.74199999999999999</v>
      </c>
      <c r="Q129" s="55">
        <v>0.22500000000000001</v>
      </c>
      <c r="R129" s="55">
        <v>6.0000000000000001E-3</v>
      </c>
      <c r="S129" s="31">
        <v>0.23124357656731759</v>
      </c>
      <c r="U129" s="31">
        <v>4.0267573212876395E-3</v>
      </c>
      <c r="V129" s="31">
        <v>1</v>
      </c>
      <c r="W129" s="31">
        <v>873</v>
      </c>
      <c r="X129" s="55">
        <v>600</v>
      </c>
      <c r="Z129" s="60">
        <v>0.47457002128449133</v>
      </c>
      <c r="AA129" s="58"/>
    </row>
    <row r="130" spans="1:27" x14ac:dyDescent="0.55000000000000004">
      <c r="C130" s="82" t="s">
        <v>373</v>
      </c>
      <c r="D130" s="156" t="s">
        <v>244</v>
      </c>
      <c r="E130" s="55">
        <v>0.32400000000000001</v>
      </c>
      <c r="F130" s="55">
        <v>0.17199999999999999</v>
      </c>
      <c r="G130" s="55">
        <v>0.1</v>
      </c>
      <c r="H130" s="55">
        <v>2.4129999999999998</v>
      </c>
      <c r="I130" s="31">
        <v>0.10767696909272184</v>
      </c>
      <c r="J130" s="31">
        <v>0.8019275506812894</v>
      </c>
      <c r="K130" s="31">
        <v>3.3233632436025264E-2</v>
      </c>
      <c r="L130" s="31">
        <v>5.7161847789963444E-2</v>
      </c>
      <c r="N130" s="54" t="s">
        <v>62</v>
      </c>
      <c r="O130" s="6" t="s">
        <v>377</v>
      </c>
      <c r="P130" s="55">
        <v>0.74199999999999999</v>
      </c>
      <c r="Q130" s="55">
        <v>0.22500000000000001</v>
      </c>
      <c r="R130" s="55">
        <v>6.0000000000000001E-3</v>
      </c>
      <c r="S130" s="31">
        <v>0.23124357656731759</v>
      </c>
      <c r="U130" s="31">
        <v>2.9684135355999932E-3</v>
      </c>
      <c r="V130" s="31">
        <v>1</v>
      </c>
      <c r="W130" s="31">
        <v>873</v>
      </c>
      <c r="X130" s="55">
        <v>600</v>
      </c>
      <c r="Z130" s="60">
        <v>0.44569279325138933</v>
      </c>
      <c r="AA130" s="58"/>
    </row>
    <row r="131" spans="1:27" x14ac:dyDescent="0.55000000000000004">
      <c r="C131" s="82" t="s">
        <v>374</v>
      </c>
      <c r="D131" s="156" t="s">
        <v>245</v>
      </c>
      <c r="E131" s="55">
        <v>0.31900000000000001</v>
      </c>
      <c r="F131" s="55">
        <v>0.17199999999999999</v>
      </c>
      <c r="G131" s="55">
        <v>0.114</v>
      </c>
      <c r="H131" s="55">
        <v>2.403</v>
      </c>
      <c r="I131" s="31">
        <v>0.10605053191489362</v>
      </c>
      <c r="J131" s="31">
        <v>0.7988696808510638</v>
      </c>
      <c r="K131" s="31">
        <v>3.7898936170212769E-2</v>
      </c>
      <c r="L131" s="31">
        <v>5.718085106382978E-2</v>
      </c>
      <c r="N131" s="54" t="s">
        <v>62</v>
      </c>
      <c r="O131" s="6" t="s">
        <v>377</v>
      </c>
      <c r="P131" s="55">
        <v>0.74199999999999999</v>
      </c>
      <c r="Q131" s="55">
        <v>0.22500000000000001</v>
      </c>
      <c r="R131" s="55">
        <v>6.0000000000000001E-3</v>
      </c>
      <c r="S131" s="31">
        <v>0.23124357656731759</v>
      </c>
      <c r="U131" s="31">
        <v>4.402222860399224E-3</v>
      </c>
      <c r="V131" s="31">
        <v>1</v>
      </c>
      <c r="W131" s="31">
        <v>873</v>
      </c>
      <c r="X131" s="55">
        <v>600</v>
      </c>
      <c r="Z131" s="60">
        <v>0.48301235504333395</v>
      </c>
      <c r="AA131" s="58"/>
    </row>
    <row r="132" spans="1:27" x14ac:dyDescent="0.55000000000000004">
      <c r="C132" s="82" t="s">
        <v>375</v>
      </c>
      <c r="D132" s="156" t="s">
        <v>246</v>
      </c>
      <c r="E132" s="55">
        <v>0.33100000000000002</v>
      </c>
      <c r="F132" s="55">
        <v>0.16300000000000001</v>
      </c>
      <c r="G132" s="55">
        <v>0.106</v>
      </c>
      <c r="H132" s="55">
        <v>2.403</v>
      </c>
      <c r="I132" s="31">
        <v>0.11022311022311022</v>
      </c>
      <c r="J132" s="31">
        <v>0.80019980019980019</v>
      </c>
      <c r="K132" s="31">
        <v>3.5298035298035296E-2</v>
      </c>
      <c r="L132" s="31">
        <v>5.427905427905428E-2</v>
      </c>
      <c r="N132" s="54" t="s">
        <v>62</v>
      </c>
      <c r="O132" s="6" t="s">
        <v>377</v>
      </c>
      <c r="P132" s="55">
        <v>0.74199999999999999</v>
      </c>
      <c r="Q132" s="55">
        <v>0.22500000000000001</v>
      </c>
      <c r="R132" s="55">
        <v>6.0000000000000001E-3</v>
      </c>
      <c r="S132" s="31">
        <v>0.23124357656731759</v>
      </c>
      <c r="U132" s="31">
        <v>3.5566617608443021E-3</v>
      </c>
      <c r="V132" s="31">
        <v>1</v>
      </c>
      <c r="W132" s="31">
        <v>873</v>
      </c>
      <c r="X132" s="55">
        <v>600</v>
      </c>
      <c r="Z132" s="60">
        <v>0.46281405610594251</v>
      </c>
      <c r="AA132" s="58"/>
    </row>
    <row r="133" spans="1:27" x14ac:dyDescent="0.55000000000000004">
      <c r="C133" s="82" t="s">
        <v>376</v>
      </c>
      <c r="D133" s="156" t="s">
        <v>247</v>
      </c>
      <c r="E133" s="55">
        <v>0.33900000000000002</v>
      </c>
      <c r="F133" s="55">
        <v>0.16200000000000001</v>
      </c>
      <c r="G133" s="55">
        <v>0.105</v>
      </c>
      <c r="H133" s="55">
        <v>2.3860000000000001</v>
      </c>
      <c r="I133" s="31">
        <v>0.11330213903743316</v>
      </c>
      <c r="J133" s="31">
        <v>0.79745989304812837</v>
      </c>
      <c r="K133" s="31">
        <v>3.5093582887700536E-2</v>
      </c>
      <c r="L133" s="31">
        <v>5.4144385026737969E-2</v>
      </c>
      <c r="N133" s="54" t="s">
        <v>62</v>
      </c>
      <c r="O133" s="6" t="s">
        <v>377</v>
      </c>
      <c r="P133" s="55">
        <v>0.74199999999999999</v>
      </c>
      <c r="Q133" s="55">
        <v>0.22500000000000001</v>
      </c>
      <c r="R133" s="55">
        <v>6.0000000000000001E-3</v>
      </c>
      <c r="S133" s="31">
        <v>0.23124357656731759</v>
      </c>
      <c r="U133" s="31">
        <v>3.4952166143373165E-3</v>
      </c>
      <c r="V133" s="31">
        <v>1</v>
      </c>
      <c r="W133" s="31">
        <v>873</v>
      </c>
      <c r="X133" s="55">
        <v>600</v>
      </c>
      <c r="Z133" s="60">
        <v>0.46116371492581065</v>
      </c>
      <c r="AA133" s="58"/>
    </row>
    <row r="134" spans="1:27" x14ac:dyDescent="0.55000000000000004">
      <c r="C134" s="82" t="s">
        <v>366</v>
      </c>
      <c r="D134" s="156" t="s">
        <v>250</v>
      </c>
      <c r="E134" s="55">
        <v>0.33900000000000002</v>
      </c>
      <c r="F134" s="55">
        <v>0.157</v>
      </c>
      <c r="G134" s="55">
        <v>0.11</v>
      </c>
      <c r="H134" s="55">
        <v>2.37</v>
      </c>
      <c r="I134" s="31">
        <v>0.11391129032258066</v>
      </c>
      <c r="J134" s="31">
        <v>0.7963709677419355</v>
      </c>
      <c r="K134" s="31">
        <v>3.6962365591397851E-2</v>
      </c>
      <c r="L134" s="31">
        <v>5.2755376344086023E-2</v>
      </c>
      <c r="N134" s="54" t="s">
        <v>62</v>
      </c>
      <c r="O134" s="6" t="s">
        <v>377</v>
      </c>
      <c r="P134" s="55">
        <v>0.74199999999999999</v>
      </c>
      <c r="Q134" s="55">
        <v>0.22500000000000001</v>
      </c>
      <c r="R134" s="55">
        <v>6.0000000000000001E-3</v>
      </c>
      <c r="S134" s="31">
        <v>0.23124357656731759</v>
      </c>
      <c r="U134" s="31">
        <v>4.0838543187334646E-3</v>
      </c>
      <c r="V134" s="31">
        <v>1</v>
      </c>
      <c r="W134" s="31">
        <v>873</v>
      </c>
      <c r="X134" s="55">
        <v>600</v>
      </c>
      <c r="Z134" s="60">
        <v>0.47590337941415151</v>
      </c>
      <c r="AA134" s="58"/>
    </row>
    <row r="135" spans="1:27" x14ac:dyDescent="0.55000000000000004">
      <c r="C135" s="54"/>
      <c r="D135" s="54"/>
      <c r="E135" s="55"/>
      <c r="F135" s="55"/>
      <c r="G135" s="55"/>
      <c r="H135" s="55"/>
      <c r="N135" s="54"/>
      <c r="O135" s="54"/>
      <c r="P135" s="55"/>
      <c r="Q135" s="55"/>
      <c r="R135" s="55"/>
      <c r="X135" s="55"/>
      <c r="Y135" s="54" t="s">
        <v>59</v>
      </c>
      <c r="Z135" s="57">
        <v>0.47223385374323412</v>
      </c>
      <c r="AA135" s="58"/>
    </row>
    <row r="136" spans="1:27" x14ac:dyDescent="0.55000000000000004">
      <c r="C136" s="54"/>
      <c r="D136" s="54"/>
      <c r="E136" s="55"/>
      <c r="F136" s="55"/>
      <c r="G136" s="55"/>
      <c r="H136" s="55"/>
      <c r="N136" s="54"/>
      <c r="O136" s="54"/>
      <c r="P136" s="55"/>
      <c r="Q136" s="55"/>
      <c r="R136" s="55"/>
      <c r="X136" s="55"/>
      <c r="Z136" s="60"/>
      <c r="AA136" s="58"/>
    </row>
    <row r="137" spans="1:27" s="58" customFormat="1" x14ac:dyDescent="0.55000000000000004">
      <c r="B137" s="84" t="s">
        <v>84</v>
      </c>
      <c r="C137" s="63" t="s">
        <v>61</v>
      </c>
      <c r="D137" s="15" t="s">
        <v>70</v>
      </c>
      <c r="E137" s="64">
        <v>0.49</v>
      </c>
      <c r="F137" s="64">
        <v>0.08</v>
      </c>
      <c r="G137" s="64">
        <v>0.123</v>
      </c>
      <c r="H137" s="64">
        <v>2.3149999999999999</v>
      </c>
      <c r="I137" s="58">
        <f t="shared" ref="I137" si="39">E137/(SUM(E137:H137))</f>
        <v>0.16289893617021275</v>
      </c>
      <c r="J137" s="58">
        <f t="shared" ref="J137" si="40">H137/(SUM(E137:H137))</f>
        <v>0.7696143617021276</v>
      </c>
      <c r="K137" s="58">
        <f t="shared" ref="K137" si="41">G137/(SUM(E137:H137))</f>
        <v>4.0890957446808512E-2</v>
      </c>
      <c r="L137" s="58">
        <f t="shared" ref="L137" si="42">F137/(SUM(E137:H137))</f>
        <v>2.6595744680851064E-2</v>
      </c>
      <c r="N137" s="63" t="s">
        <v>365</v>
      </c>
      <c r="O137" s="15" t="s">
        <v>255</v>
      </c>
      <c r="P137" s="64">
        <v>0.76400000000000001</v>
      </c>
      <c r="Q137" s="64">
        <v>0.19600000000000001</v>
      </c>
      <c r="R137" s="64">
        <v>1.6E-2</v>
      </c>
      <c r="S137" s="58">
        <v>0.20081967213114754</v>
      </c>
      <c r="U137" s="58">
        <v>8.4423446438980799E-3</v>
      </c>
      <c r="V137" s="58">
        <v>1</v>
      </c>
      <c r="W137" s="58">
        <v>930</v>
      </c>
      <c r="X137" s="64">
        <v>657</v>
      </c>
      <c r="Z137" s="57">
        <v>0.67446530384556314</v>
      </c>
    </row>
    <row r="138" spans="1:27" s="39" customFormat="1" x14ac:dyDescent="0.55000000000000004">
      <c r="B138" s="12"/>
      <c r="C138" s="61"/>
      <c r="D138" s="61"/>
      <c r="E138" s="62"/>
      <c r="F138" s="62"/>
      <c r="G138" s="62"/>
      <c r="H138" s="62"/>
      <c r="N138" s="61"/>
      <c r="O138" s="61"/>
      <c r="P138" s="62"/>
      <c r="Q138" s="62"/>
      <c r="R138" s="62"/>
      <c r="X138" s="62"/>
      <c r="Y138" s="61"/>
      <c r="Z138" s="177"/>
    </row>
    <row r="139" spans="1:27" s="63" customFormat="1" x14ac:dyDescent="0.55000000000000004">
      <c r="B139" s="15"/>
      <c r="E139" s="64"/>
      <c r="F139" s="64"/>
      <c r="G139" s="64"/>
      <c r="H139" s="64"/>
      <c r="P139" s="64"/>
      <c r="Q139" s="64"/>
      <c r="R139" s="64"/>
      <c r="X139" s="64"/>
      <c r="Z139" s="60"/>
    </row>
    <row r="140" spans="1:27" x14ac:dyDescent="0.55000000000000004">
      <c r="A140" s="31" t="s">
        <v>63</v>
      </c>
      <c r="B140" s="11" t="s">
        <v>204</v>
      </c>
      <c r="C140" t="s">
        <v>378</v>
      </c>
      <c r="D140" s="156" t="s">
        <v>362</v>
      </c>
      <c r="E140" s="64">
        <v>0.25800000000000001</v>
      </c>
      <c r="F140" s="64">
        <v>0.185</v>
      </c>
      <c r="G140" s="64">
        <v>0.122</v>
      </c>
      <c r="H140" s="64">
        <v>2.4430000000000001</v>
      </c>
      <c r="I140" s="58">
        <v>8.5771276595744683E-2</v>
      </c>
      <c r="J140" s="58">
        <v>0.81216755319148937</v>
      </c>
      <c r="K140" s="58">
        <v>4.0558510638297872E-2</v>
      </c>
      <c r="L140" s="58">
        <v>6.1502659574468085E-2</v>
      </c>
      <c r="N140" s="31" t="s">
        <v>64</v>
      </c>
      <c r="O140" s="11" t="s">
        <v>255</v>
      </c>
      <c r="P140" s="55">
        <v>0.80800000000000005</v>
      </c>
      <c r="Q140" s="55">
        <v>0.19800000000000001</v>
      </c>
      <c r="R140" s="55">
        <v>0.01</v>
      </c>
      <c r="S140" s="31">
        <v>0.19488188976377954</v>
      </c>
      <c r="U140" s="31">
        <v>9.0142904901685614E-3</v>
      </c>
      <c r="V140" s="31">
        <v>1</v>
      </c>
      <c r="W140" s="31">
        <v>870</v>
      </c>
      <c r="X140" s="55">
        <v>597</v>
      </c>
      <c r="Z140" s="59">
        <v>0.54405299101421745</v>
      </c>
    </row>
    <row r="141" spans="1:27" x14ac:dyDescent="0.55000000000000004">
      <c r="C141" t="s">
        <v>380</v>
      </c>
      <c r="D141" s="156" t="s">
        <v>239</v>
      </c>
      <c r="E141" s="64">
        <v>0.29799999999999999</v>
      </c>
      <c r="F141" s="64">
        <v>0.16800000000000001</v>
      </c>
      <c r="G141" s="64">
        <v>0.12</v>
      </c>
      <c r="H141" s="64">
        <v>2.4369999999999998</v>
      </c>
      <c r="I141" s="58">
        <v>9.8577571948395643E-2</v>
      </c>
      <c r="J141" s="58">
        <v>0.80615282831624213</v>
      </c>
      <c r="K141" s="58">
        <v>3.969566655640093E-2</v>
      </c>
      <c r="L141" s="58">
        <v>5.5573933178961303E-2</v>
      </c>
      <c r="N141" s="31" t="s">
        <v>64</v>
      </c>
      <c r="O141" s="11" t="s">
        <v>255</v>
      </c>
      <c r="P141" s="55">
        <v>0.80800000000000005</v>
      </c>
      <c r="Q141" s="55">
        <v>0.19800000000000001</v>
      </c>
      <c r="R141" s="55">
        <v>0.01</v>
      </c>
      <c r="S141" s="31">
        <v>0.19488188976377954</v>
      </c>
      <c r="U141" s="31">
        <v>8.4511313106233991E-3</v>
      </c>
      <c r="V141" s="31">
        <v>1</v>
      </c>
      <c r="W141" s="31">
        <v>870</v>
      </c>
      <c r="X141" s="55">
        <v>597</v>
      </c>
      <c r="Z141" s="59">
        <v>0.53794381494134502</v>
      </c>
    </row>
    <row r="142" spans="1:27" x14ac:dyDescent="0.55000000000000004">
      <c r="C142" t="s">
        <v>381</v>
      </c>
      <c r="D142" s="156" t="s">
        <v>240</v>
      </c>
      <c r="E142" s="64">
        <v>0.30599999999999999</v>
      </c>
      <c r="F142" s="64">
        <v>0.16700000000000001</v>
      </c>
      <c r="G142" s="64">
        <v>0.12</v>
      </c>
      <c r="H142" s="64">
        <v>2.3969999999999998</v>
      </c>
      <c r="I142" s="58">
        <v>0.10234113712374583</v>
      </c>
      <c r="J142" s="58">
        <v>0.80167224080267563</v>
      </c>
      <c r="K142" s="58">
        <v>4.0133779264214048E-2</v>
      </c>
      <c r="L142" s="58">
        <v>5.5852842809364554E-2</v>
      </c>
      <c r="N142" s="31" t="s">
        <v>64</v>
      </c>
      <c r="O142" s="11" t="s">
        <v>255</v>
      </c>
      <c r="P142" s="55">
        <v>0.80800000000000005</v>
      </c>
      <c r="Q142" s="55">
        <v>0.19800000000000001</v>
      </c>
      <c r="R142" s="55">
        <v>0.01</v>
      </c>
      <c r="S142" s="31">
        <v>0.19488188976377954</v>
      </c>
      <c r="U142" s="31">
        <v>8.7340510542430107E-3</v>
      </c>
      <c r="V142" s="31">
        <v>1</v>
      </c>
      <c r="W142" s="31">
        <v>870</v>
      </c>
      <c r="X142" s="55">
        <v>597</v>
      </c>
      <c r="Z142" s="59">
        <v>0.54106218983828669</v>
      </c>
    </row>
    <row r="143" spans="1:27" x14ac:dyDescent="0.55000000000000004">
      <c r="C143" t="s">
        <v>382</v>
      </c>
      <c r="D143" s="156" t="s">
        <v>241</v>
      </c>
      <c r="E143" s="64">
        <v>0.316</v>
      </c>
      <c r="F143" s="64">
        <v>0.16300000000000001</v>
      </c>
      <c r="G143" s="64">
        <v>0.12</v>
      </c>
      <c r="H143" s="64">
        <v>2.403</v>
      </c>
      <c r="I143" s="58">
        <v>0.10526315789473685</v>
      </c>
      <c r="J143" s="58">
        <v>0.80046635576282488</v>
      </c>
      <c r="K143" s="58">
        <v>3.9973351099267154E-2</v>
      </c>
      <c r="L143" s="58">
        <v>5.4297135243171223E-2</v>
      </c>
      <c r="N143" s="31" t="s">
        <v>64</v>
      </c>
      <c r="O143" s="11" t="s">
        <v>255</v>
      </c>
      <c r="P143" s="55">
        <v>0.80800000000000005</v>
      </c>
      <c r="Q143" s="55">
        <v>0.19800000000000001</v>
      </c>
      <c r="R143" s="55">
        <v>0.01</v>
      </c>
      <c r="S143" s="31">
        <v>0.19488188976377954</v>
      </c>
      <c r="U143" s="31">
        <v>8.6297303856169745E-3</v>
      </c>
      <c r="V143" s="31">
        <v>1</v>
      </c>
      <c r="W143" s="31">
        <v>870</v>
      </c>
      <c r="X143" s="55">
        <v>597</v>
      </c>
      <c r="Z143" s="59">
        <v>0.53992427109404206</v>
      </c>
    </row>
    <row r="144" spans="1:27" x14ac:dyDescent="0.55000000000000004">
      <c r="C144" t="s">
        <v>383</v>
      </c>
      <c r="D144" s="156" t="s">
        <v>242</v>
      </c>
      <c r="E144" s="64">
        <v>0.311</v>
      </c>
      <c r="F144" s="64">
        <v>0.16300000000000001</v>
      </c>
      <c r="G144" s="64">
        <v>0.129</v>
      </c>
      <c r="H144" s="64">
        <v>2.3980000000000001</v>
      </c>
      <c r="I144" s="58">
        <v>0.10363212262579138</v>
      </c>
      <c r="J144" s="58">
        <v>0.79906697767410861</v>
      </c>
      <c r="K144" s="58">
        <v>4.2985671442852376E-2</v>
      </c>
      <c r="L144" s="58">
        <v>5.4315228257247578E-2</v>
      </c>
      <c r="N144" s="31" t="s">
        <v>64</v>
      </c>
      <c r="O144" s="11" t="s">
        <v>255</v>
      </c>
      <c r="P144" s="55">
        <v>0.80800000000000005</v>
      </c>
      <c r="Q144" s="55">
        <v>0.19800000000000001</v>
      </c>
      <c r="R144" s="55">
        <v>0.01</v>
      </c>
      <c r="S144" s="31">
        <v>0.19488188976377954</v>
      </c>
      <c r="U144" s="31">
        <v>1.0731407776440927E-2</v>
      </c>
      <c r="V144" s="31">
        <v>1</v>
      </c>
      <c r="W144" s="31">
        <v>870</v>
      </c>
      <c r="X144" s="55">
        <v>597</v>
      </c>
      <c r="Z144" s="59">
        <v>0.56056522372335238</v>
      </c>
    </row>
    <row r="145" spans="2:27" x14ac:dyDescent="0.55000000000000004">
      <c r="C145" t="s">
        <v>384</v>
      </c>
      <c r="D145" s="156" t="s">
        <v>243</v>
      </c>
      <c r="E145" s="64">
        <v>0.33100000000000002</v>
      </c>
      <c r="F145" s="64">
        <v>0.158</v>
      </c>
      <c r="G145" s="64">
        <v>0.12</v>
      </c>
      <c r="H145" s="64">
        <v>2.3879999999999999</v>
      </c>
      <c r="I145" s="58">
        <v>0.11044377711044379</v>
      </c>
      <c r="J145" s="58">
        <v>0.79679679679679682</v>
      </c>
      <c r="K145" s="58">
        <v>4.004004004004004E-2</v>
      </c>
      <c r="L145" s="58">
        <v>5.2719386052719391E-2</v>
      </c>
      <c r="N145" s="31" t="s">
        <v>64</v>
      </c>
      <c r="O145" s="11" t="s">
        <v>255</v>
      </c>
      <c r="P145" s="55">
        <v>0.80800000000000005</v>
      </c>
      <c r="Q145" s="55">
        <v>0.19800000000000001</v>
      </c>
      <c r="R145" s="55">
        <v>0.01</v>
      </c>
      <c r="S145" s="31">
        <v>0.19488188976377954</v>
      </c>
      <c r="U145" s="31">
        <v>8.6729943279261375E-3</v>
      </c>
      <c r="V145" s="31">
        <v>1</v>
      </c>
      <c r="W145" s="31">
        <v>870</v>
      </c>
      <c r="X145" s="55">
        <v>597</v>
      </c>
      <c r="Z145" s="59">
        <v>0.54039785013352504</v>
      </c>
    </row>
    <row r="146" spans="2:27" x14ac:dyDescent="0.55000000000000004">
      <c r="C146" t="s">
        <v>385</v>
      </c>
      <c r="D146" s="156" t="s">
        <v>244</v>
      </c>
      <c r="E146" s="64">
        <v>0.33</v>
      </c>
      <c r="F146" s="64">
        <v>0.158</v>
      </c>
      <c r="G146" s="64">
        <v>0.115</v>
      </c>
      <c r="H146" s="64">
        <v>2.4049999999999998</v>
      </c>
      <c r="I146" s="58">
        <v>0.10970744680851065</v>
      </c>
      <c r="J146" s="58">
        <v>0.79953457446808507</v>
      </c>
      <c r="K146" s="58">
        <v>3.8231382978723409E-2</v>
      </c>
      <c r="L146" s="58">
        <v>5.2526595744680854E-2</v>
      </c>
      <c r="N146" s="31" t="s">
        <v>64</v>
      </c>
      <c r="O146" s="11" t="s">
        <v>255</v>
      </c>
      <c r="P146" s="55">
        <v>0.80800000000000005</v>
      </c>
      <c r="Q146" s="55">
        <v>0.19800000000000001</v>
      </c>
      <c r="R146" s="55">
        <v>0.01</v>
      </c>
      <c r="S146" s="31">
        <v>0.19488188976377954</v>
      </c>
      <c r="U146" s="31">
        <v>7.5499761264352068E-3</v>
      </c>
      <c r="V146" s="31">
        <v>1</v>
      </c>
      <c r="W146" s="31">
        <v>870</v>
      </c>
      <c r="X146" s="55">
        <v>597</v>
      </c>
      <c r="Z146" s="59">
        <v>0.52726582987349857</v>
      </c>
    </row>
    <row r="147" spans="2:27" x14ac:dyDescent="0.55000000000000004">
      <c r="C147" t="s">
        <v>386</v>
      </c>
      <c r="D147" s="156" t="s">
        <v>245</v>
      </c>
      <c r="E147" s="64">
        <v>0.33400000000000002</v>
      </c>
      <c r="F147" s="64">
        <v>0.153</v>
      </c>
      <c r="G147" s="64">
        <v>0.11899999999999999</v>
      </c>
      <c r="H147" s="64">
        <v>2.3940000000000001</v>
      </c>
      <c r="I147" s="58">
        <v>0.11133333333333334</v>
      </c>
      <c r="J147" s="58">
        <v>0.79800000000000004</v>
      </c>
      <c r="K147" s="58">
        <v>3.9666666666666663E-2</v>
      </c>
      <c r="L147" s="58">
        <v>5.0999999999999997E-2</v>
      </c>
      <c r="N147" s="31" t="s">
        <v>64</v>
      </c>
      <c r="O147" s="11" t="s">
        <v>255</v>
      </c>
      <c r="P147" s="55">
        <v>0.80800000000000005</v>
      </c>
      <c r="Q147" s="55">
        <v>0.19800000000000001</v>
      </c>
      <c r="R147" s="55">
        <v>0.01</v>
      </c>
      <c r="S147" s="31">
        <v>0.19488188976377954</v>
      </c>
      <c r="U147" s="31">
        <v>8.4326227759350045E-3</v>
      </c>
      <c r="V147" s="31">
        <v>1</v>
      </c>
      <c r="W147" s="31">
        <v>870</v>
      </c>
      <c r="X147" s="55">
        <v>597</v>
      </c>
      <c r="Z147" s="59">
        <v>0.53773618825736003</v>
      </c>
    </row>
    <row r="148" spans="2:27" x14ac:dyDescent="0.55000000000000004">
      <c r="C148" t="s">
        <v>387</v>
      </c>
      <c r="D148" s="156" t="s">
        <v>246</v>
      </c>
      <c r="E148" s="64">
        <v>0.35199999999999998</v>
      </c>
      <c r="F148" s="64">
        <v>0.14799999999999999</v>
      </c>
      <c r="G148" s="64">
        <v>0.11899999999999999</v>
      </c>
      <c r="H148" s="64">
        <v>2.3929999999999998</v>
      </c>
      <c r="I148" s="58">
        <v>0.11686586985391767</v>
      </c>
      <c r="J148" s="58">
        <v>0.79448871181938918</v>
      </c>
      <c r="K148" s="58">
        <v>3.9508632138114216E-2</v>
      </c>
      <c r="L148" s="58">
        <v>4.9136786188579022E-2</v>
      </c>
      <c r="N148" s="31" t="s">
        <v>64</v>
      </c>
      <c r="O148" s="11" t="s">
        <v>255</v>
      </c>
      <c r="P148" s="55">
        <v>0.80800000000000005</v>
      </c>
      <c r="Q148" s="55">
        <v>0.19800000000000001</v>
      </c>
      <c r="R148" s="55">
        <v>0.01</v>
      </c>
      <c r="S148" s="31">
        <v>0.19488188976377954</v>
      </c>
      <c r="U148" s="31">
        <v>8.3322354697326021E-3</v>
      </c>
      <c r="V148" s="31">
        <v>1</v>
      </c>
      <c r="W148" s="31">
        <v>870</v>
      </c>
      <c r="X148" s="55">
        <v>597</v>
      </c>
      <c r="Z148" s="59">
        <v>0.5366020550146845</v>
      </c>
    </row>
    <row r="149" spans="2:27" x14ac:dyDescent="0.55000000000000004">
      <c r="C149" t="s">
        <v>388</v>
      </c>
      <c r="D149" s="156" t="s">
        <v>247</v>
      </c>
      <c r="E149" s="64">
        <v>0.34899999999999998</v>
      </c>
      <c r="F149" s="64">
        <v>0.14799999999999999</v>
      </c>
      <c r="G149" s="64">
        <v>0.12</v>
      </c>
      <c r="H149" s="64">
        <v>2.3839999999999999</v>
      </c>
      <c r="I149" s="58">
        <v>0.11629456847717427</v>
      </c>
      <c r="J149" s="58">
        <v>0.79440186604465179</v>
      </c>
      <c r="K149" s="58">
        <v>3.9986671109630126E-2</v>
      </c>
      <c r="L149" s="58">
        <v>4.931689436854382E-2</v>
      </c>
      <c r="N149" s="31" t="s">
        <v>64</v>
      </c>
      <c r="O149" s="11" t="s">
        <v>255</v>
      </c>
      <c r="P149" s="55">
        <v>0.80800000000000005</v>
      </c>
      <c r="Q149" s="55">
        <v>0.19800000000000001</v>
      </c>
      <c r="R149" s="55">
        <v>0.01</v>
      </c>
      <c r="S149" s="31">
        <v>0.19488188976377954</v>
      </c>
      <c r="U149" s="31">
        <v>8.6383601153636747E-3</v>
      </c>
      <c r="V149" s="31">
        <v>1</v>
      </c>
      <c r="W149" s="31">
        <v>870</v>
      </c>
      <c r="X149" s="55">
        <v>597</v>
      </c>
      <c r="Z149" s="59">
        <v>0.54001892376858074</v>
      </c>
    </row>
    <row r="150" spans="2:27" x14ac:dyDescent="0.55000000000000004">
      <c r="C150" t="s">
        <v>379</v>
      </c>
      <c r="D150" s="156" t="s">
        <v>250</v>
      </c>
      <c r="E150" s="64">
        <v>0.36599999999999999</v>
      </c>
      <c r="F150" s="64">
        <v>0.152</v>
      </c>
      <c r="G150" s="64">
        <v>0.11899999999999999</v>
      </c>
      <c r="H150" s="64">
        <v>2.3849999999999998</v>
      </c>
      <c r="I150" s="58">
        <v>0.12111184645929848</v>
      </c>
      <c r="J150" s="58">
        <v>0.78921244209133024</v>
      </c>
      <c r="K150" s="58">
        <v>3.9377895433487756E-2</v>
      </c>
      <c r="L150" s="58">
        <v>5.0297816015883526E-2</v>
      </c>
      <c r="N150" s="31" t="s">
        <v>64</v>
      </c>
      <c r="O150" s="11" t="s">
        <v>255</v>
      </c>
      <c r="P150" s="55">
        <v>0.80800000000000005</v>
      </c>
      <c r="Q150" s="55">
        <v>0.19800000000000001</v>
      </c>
      <c r="R150" s="55">
        <v>0.01</v>
      </c>
      <c r="S150" s="31">
        <v>0.19488188976377954</v>
      </c>
      <c r="U150" s="31">
        <v>8.2497931074752492E-3</v>
      </c>
      <c r="V150" s="31">
        <v>1</v>
      </c>
      <c r="W150" s="31">
        <v>870</v>
      </c>
      <c r="X150" s="55">
        <v>597</v>
      </c>
      <c r="Z150" s="59">
        <v>0.53566039024802936</v>
      </c>
    </row>
    <row r="151" spans="2:27" x14ac:dyDescent="0.55000000000000004">
      <c r="C151" s="54"/>
      <c r="D151" s="54"/>
      <c r="E151" s="55"/>
      <c r="F151" s="55"/>
      <c r="G151" s="55"/>
      <c r="H151" s="55"/>
      <c r="N151" s="54"/>
      <c r="O151" s="54"/>
      <c r="P151" s="55"/>
      <c r="Q151" s="55"/>
      <c r="R151" s="55"/>
      <c r="X151" s="55"/>
      <c r="Y151" s="54" t="s">
        <v>59</v>
      </c>
      <c r="Z151" s="57">
        <v>0.54011179344608373</v>
      </c>
    </row>
    <row r="152" spans="2:27" x14ac:dyDescent="0.55000000000000004">
      <c r="C152" s="54"/>
      <c r="D152" s="54"/>
      <c r="E152" s="55"/>
      <c r="F152" s="55"/>
      <c r="G152" s="55"/>
      <c r="H152" s="55"/>
      <c r="N152" s="54"/>
      <c r="O152" s="54"/>
      <c r="P152" s="55"/>
      <c r="Q152" s="55"/>
      <c r="R152" s="55"/>
      <c r="X152" s="55"/>
      <c r="Z152" s="59"/>
    </row>
    <row r="153" spans="2:27" x14ac:dyDescent="0.55000000000000004">
      <c r="B153" s="11" t="s">
        <v>84</v>
      </c>
      <c r="C153" s="54" t="s">
        <v>71</v>
      </c>
      <c r="D153" s="157" t="s">
        <v>389</v>
      </c>
      <c r="E153" s="55">
        <v>0.51500000000000001</v>
      </c>
      <c r="F153" s="55">
        <v>9.5000000000000001E-2</v>
      </c>
      <c r="G153" s="55">
        <v>0.113</v>
      </c>
      <c r="H153" s="55">
        <v>2.3159999999999998</v>
      </c>
      <c r="I153" s="31">
        <f t="shared" ref="I153:I162" si="43">E153/(SUM(E153:H153))</f>
        <v>0.16946363935505102</v>
      </c>
      <c r="J153" s="31">
        <f t="shared" ref="J153:J162" si="44">H153/(SUM(E153:H153))</f>
        <v>0.76209279368213234</v>
      </c>
      <c r="K153" s="31">
        <f t="shared" ref="K153:K162" si="45">G153/(SUM(E153:H153))</f>
        <v>3.7183283974991779E-2</v>
      </c>
      <c r="L153" s="31">
        <f t="shared" ref="L153:L162" si="46">F153/(SUM(E153:H153))</f>
        <v>3.1260282987824947E-2</v>
      </c>
      <c r="N153" s="54" t="s">
        <v>64</v>
      </c>
      <c r="O153" s="11" t="s">
        <v>255</v>
      </c>
      <c r="P153" s="55">
        <v>0.80800000000000005</v>
      </c>
      <c r="Q153" s="55">
        <v>0.19800000000000001</v>
      </c>
      <c r="R153" s="55">
        <v>0.01</v>
      </c>
      <c r="S153" s="31">
        <f t="shared" ref="S153:S162" si="47">Q153/(SUM(P153:R153))</f>
        <v>0.19488188976377954</v>
      </c>
      <c r="U153" s="31">
        <f t="shared" ref="U153:U162" si="48">(K153)^3/(S153)^3</f>
        <v>6.9459041068155054E-3</v>
      </c>
      <c r="V153" s="31">
        <v>1</v>
      </c>
      <c r="W153" s="31">
        <v>946</v>
      </c>
      <c r="X153" s="55">
        <f t="shared" ref="X153:X162" si="49">W153-273</f>
        <v>673</v>
      </c>
      <c r="Z153" s="60">
        <f t="shared" ref="Z153:Z162" si="50">((0.00259-0.000313*V153)*W153)+((LN(U153))*(0.171-0.0763*V153))-0.991</f>
        <v>0.69242058356232461</v>
      </c>
      <c r="AA153" s="58"/>
    </row>
    <row r="154" spans="2:27" x14ac:dyDescent="0.55000000000000004">
      <c r="C154" s="54" t="s">
        <v>73</v>
      </c>
      <c r="D154" s="157" t="s">
        <v>389</v>
      </c>
      <c r="E154" s="55">
        <v>0.50700000000000001</v>
      </c>
      <c r="F154" s="55">
        <v>9.5000000000000001E-2</v>
      </c>
      <c r="G154" s="55">
        <v>0.11799999999999999</v>
      </c>
      <c r="H154" s="55">
        <v>2.3159999999999998</v>
      </c>
      <c r="I154" s="31">
        <f t="shared" si="43"/>
        <v>0.16699604743083007</v>
      </c>
      <c r="J154" s="31">
        <f t="shared" si="44"/>
        <v>0.76284584980237158</v>
      </c>
      <c r="K154" s="31">
        <f t="shared" si="45"/>
        <v>3.8866930171278E-2</v>
      </c>
      <c r="L154" s="31">
        <f t="shared" si="46"/>
        <v>3.1291172595520424E-2</v>
      </c>
      <c r="N154" s="54" t="s">
        <v>64</v>
      </c>
      <c r="O154" s="11" t="s">
        <v>255</v>
      </c>
      <c r="P154" s="55">
        <v>0.80800000000000005</v>
      </c>
      <c r="Q154" s="55">
        <v>0.19800000000000001</v>
      </c>
      <c r="R154" s="55">
        <v>0.01</v>
      </c>
      <c r="S154" s="31">
        <f t="shared" si="47"/>
        <v>0.19488188976377954</v>
      </c>
      <c r="U154" s="31">
        <f t="shared" si="48"/>
        <v>7.9327957663094893E-3</v>
      </c>
      <c r="V154" s="31">
        <v>1</v>
      </c>
      <c r="W154" s="31">
        <v>946</v>
      </c>
      <c r="X154" s="55">
        <f t="shared" si="49"/>
        <v>673</v>
      </c>
      <c r="Z154" s="60">
        <f t="shared" si="50"/>
        <v>0.70500179869224555</v>
      </c>
      <c r="AA154" s="58"/>
    </row>
    <row r="155" spans="2:27" x14ac:dyDescent="0.55000000000000004">
      <c r="C155" s="54" t="s">
        <v>74</v>
      </c>
      <c r="D155" s="157" t="s">
        <v>389</v>
      </c>
      <c r="E155" s="55">
        <v>0.51500000000000001</v>
      </c>
      <c r="F155" s="55">
        <v>0.104</v>
      </c>
      <c r="G155" s="55">
        <v>0.11799999999999999</v>
      </c>
      <c r="H155" s="55">
        <v>2.2989999999999999</v>
      </c>
      <c r="I155" s="31">
        <f t="shared" si="43"/>
        <v>0.16963109354413702</v>
      </c>
      <c r="J155" s="31">
        <f t="shared" si="44"/>
        <v>0.75724637681159412</v>
      </c>
      <c r="K155" s="31">
        <f t="shared" si="45"/>
        <v>3.8866930171277993E-2</v>
      </c>
      <c r="L155" s="31">
        <f t="shared" si="46"/>
        <v>3.4255599472990776E-2</v>
      </c>
      <c r="N155" s="54" t="s">
        <v>64</v>
      </c>
      <c r="O155" s="11" t="s">
        <v>255</v>
      </c>
      <c r="P155" s="55">
        <v>0.80800000000000005</v>
      </c>
      <c r="Q155" s="55">
        <v>0.19800000000000001</v>
      </c>
      <c r="R155" s="55">
        <v>0.01</v>
      </c>
      <c r="S155" s="31">
        <f t="shared" si="47"/>
        <v>0.19488188976377954</v>
      </c>
      <c r="U155" s="31">
        <f t="shared" si="48"/>
        <v>7.932795766309484E-3</v>
      </c>
      <c r="V155" s="31">
        <v>1</v>
      </c>
      <c r="W155" s="31">
        <v>946</v>
      </c>
      <c r="X155" s="55">
        <f t="shared" si="49"/>
        <v>673</v>
      </c>
      <c r="Z155" s="60">
        <f t="shared" si="50"/>
        <v>0.70500179869224555</v>
      </c>
      <c r="AA155" s="58"/>
    </row>
    <row r="156" spans="2:27" x14ac:dyDescent="0.55000000000000004">
      <c r="C156" s="54" t="s">
        <v>75</v>
      </c>
      <c r="D156" s="157" t="s">
        <v>389</v>
      </c>
      <c r="E156" s="55">
        <v>0.51900000000000002</v>
      </c>
      <c r="F156" s="55">
        <v>9.9000000000000005E-2</v>
      </c>
      <c r="G156" s="55">
        <v>0.11799999999999999</v>
      </c>
      <c r="H156" s="55">
        <v>2.29</v>
      </c>
      <c r="I156" s="31">
        <f t="shared" si="43"/>
        <v>0.17151354923992071</v>
      </c>
      <c r="J156" s="31">
        <f t="shared" si="44"/>
        <v>0.75677461996034379</v>
      </c>
      <c r="K156" s="31">
        <f t="shared" si="45"/>
        <v>3.8995373430270985E-2</v>
      </c>
      <c r="L156" s="31">
        <f t="shared" si="46"/>
        <v>3.2716457369464644E-2</v>
      </c>
      <c r="N156" s="54" t="s">
        <v>64</v>
      </c>
      <c r="O156" s="11" t="s">
        <v>255</v>
      </c>
      <c r="P156" s="55">
        <v>0.80800000000000005</v>
      </c>
      <c r="Q156" s="55">
        <v>0.19800000000000001</v>
      </c>
      <c r="R156" s="55">
        <v>0.01</v>
      </c>
      <c r="S156" s="31">
        <f t="shared" si="47"/>
        <v>0.19488188976377954</v>
      </c>
      <c r="U156" s="31">
        <f t="shared" si="48"/>
        <v>8.0117023105555282E-3</v>
      </c>
      <c r="V156" s="31">
        <v>1</v>
      </c>
      <c r="W156" s="31">
        <v>946</v>
      </c>
      <c r="X156" s="55">
        <f t="shared" si="49"/>
        <v>673</v>
      </c>
      <c r="Z156" s="60">
        <f t="shared" si="50"/>
        <v>0.70593911396015263</v>
      </c>
      <c r="AA156" s="58"/>
    </row>
    <row r="157" spans="2:27" x14ac:dyDescent="0.55000000000000004">
      <c r="C157" s="54" t="s">
        <v>76</v>
      </c>
      <c r="D157" s="157" t="s">
        <v>389</v>
      </c>
      <c r="E157" s="55">
        <v>0.51100000000000001</v>
      </c>
      <c r="F157" s="55">
        <v>9.5000000000000001E-2</v>
      </c>
      <c r="G157" s="55">
        <v>0.123</v>
      </c>
      <c r="H157" s="55">
        <v>2.3079999999999998</v>
      </c>
      <c r="I157" s="31">
        <f t="shared" si="43"/>
        <v>0.16825814948962792</v>
      </c>
      <c r="J157" s="31">
        <f t="shared" si="44"/>
        <v>0.75996048732301613</v>
      </c>
      <c r="K157" s="31">
        <f t="shared" si="45"/>
        <v>4.0500493908462297E-2</v>
      </c>
      <c r="L157" s="31">
        <f t="shared" si="46"/>
        <v>3.1280869278893647E-2</v>
      </c>
      <c r="N157" s="54" t="s">
        <v>64</v>
      </c>
      <c r="O157" s="11" t="s">
        <v>255</v>
      </c>
      <c r="P157" s="55">
        <v>0.80800000000000005</v>
      </c>
      <c r="Q157" s="55">
        <v>0.19800000000000001</v>
      </c>
      <c r="R157" s="55">
        <v>0.01</v>
      </c>
      <c r="S157" s="31">
        <f t="shared" si="47"/>
        <v>0.19488188976377954</v>
      </c>
      <c r="U157" s="31">
        <f t="shared" si="48"/>
        <v>8.9756624505240457E-3</v>
      </c>
      <c r="V157" s="31">
        <v>1</v>
      </c>
      <c r="W157" s="31">
        <v>946</v>
      </c>
      <c r="X157" s="55">
        <f t="shared" si="49"/>
        <v>673</v>
      </c>
      <c r="Z157" s="60">
        <f t="shared" si="50"/>
        <v>0.71669831057561628</v>
      </c>
      <c r="AA157" s="58"/>
    </row>
    <row r="158" spans="2:27" x14ac:dyDescent="0.55000000000000004">
      <c r="C158" s="54" t="s">
        <v>77</v>
      </c>
      <c r="D158" s="157" t="s">
        <v>389</v>
      </c>
      <c r="E158" s="55">
        <v>0.50600000000000001</v>
      </c>
      <c r="F158" s="55">
        <v>9.5000000000000001E-2</v>
      </c>
      <c r="G158" s="55">
        <v>0.11799999999999999</v>
      </c>
      <c r="H158" s="55">
        <v>2.3079999999999998</v>
      </c>
      <c r="I158" s="31">
        <f t="shared" si="43"/>
        <v>0.16716220680541793</v>
      </c>
      <c r="J158" s="31">
        <f t="shared" si="44"/>
        <v>0.76247109349190623</v>
      </c>
      <c r="K158" s="31">
        <f t="shared" si="45"/>
        <v>3.8982490915097458E-2</v>
      </c>
      <c r="L158" s="31">
        <f t="shared" si="46"/>
        <v>3.1384208787578464E-2</v>
      </c>
      <c r="N158" s="54" t="s">
        <v>64</v>
      </c>
      <c r="O158" s="11" t="s">
        <v>255</v>
      </c>
      <c r="P158" s="55">
        <v>0.80800000000000005</v>
      </c>
      <c r="Q158" s="55">
        <v>0.19800000000000001</v>
      </c>
      <c r="R158" s="55">
        <v>0.01</v>
      </c>
      <c r="S158" s="31">
        <f t="shared" si="47"/>
        <v>0.19488188976377954</v>
      </c>
      <c r="U158" s="31">
        <f t="shared" si="48"/>
        <v>8.0037646932559284E-3</v>
      </c>
      <c r="V158" s="31">
        <v>1</v>
      </c>
      <c r="W158" s="31">
        <v>946</v>
      </c>
      <c r="X158" s="55">
        <f t="shared" si="49"/>
        <v>673</v>
      </c>
      <c r="Z158" s="60">
        <f t="shared" si="50"/>
        <v>0.70584524315143471</v>
      </c>
      <c r="AA158" s="58"/>
    </row>
    <row r="159" spans="2:27" x14ac:dyDescent="0.55000000000000004">
      <c r="C159" s="54" t="s">
        <v>78</v>
      </c>
      <c r="D159" s="157" t="s">
        <v>389</v>
      </c>
      <c r="E159" s="55">
        <v>0.50800000000000001</v>
      </c>
      <c r="F159" s="55">
        <v>9.5000000000000001E-2</v>
      </c>
      <c r="G159" s="55">
        <v>0.114</v>
      </c>
      <c r="H159" s="55">
        <v>2.339</v>
      </c>
      <c r="I159" s="31">
        <f t="shared" si="43"/>
        <v>0.16623036649214659</v>
      </c>
      <c r="J159" s="31">
        <f t="shared" si="44"/>
        <v>0.76537958115183247</v>
      </c>
      <c r="K159" s="31">
        <f t="shared" si="45"/>
        <v>3.7303664921465966E-2</v>
      </c>
      <c r="L159" s="31">
        <f t="shared" si="46"/>
        <v>3.1086387434554975E-2</v>
      </c>
      <c r="N159" s="54" t="s">
        <v>64</v>
      </c>
      <c r="O159" s="11" t="s">
        <v>255</v>
      </c>
      <c r="P159" s="55">
        <v>0.80800000000000005</v>
      </c>
      <c r="Q159" s="55">
        <v>0.19800000000000001</v>
      </c>
      <c r="R159" s="55">
        <v>0.01</v>
      </c>
      <c r="S159" s="31">
        <f t="shared" si="47"/>
        <v>0.19488188976377954</v>
      </c>
      <c r="U159" s="31">
        <f t="shared" si="48"/>
        <v>7.0135848811201862E-3</v>
      </c>
      <c r="V159" s="31">
        <v>1</v>
      </c>
      <c r="W159" s="31">
        <v>946</v>
      </c>
      <c r="X159" s="55">
        <f t="shared" si="49"/>
        <v>673</v>
      </c>
      <c r="Z159" s="60">
        <f t="shared" si="50"/>
        <v>0.6933388721263164</v>
      </c>
      <c r="AA159" s="58"/>
    </row>
    <row r="160" spans="2:27" x14ac:dyDescent="0.55000000000000004">
      <c r="C160" s="54" t="s">
        <v>79</v>
      </c>
      <c r="D160" s="157" t="s">
        <v>389</v>
      </c>
      <c r="E160" s="55">
        <v>0.47799999999999998</v>
      </c>
      <c r="F160" s="55">
        <v>9.9000000000000005E-2</v>
      </c>
      <c r="G160" s="55">
        <v>0.128</v>
      </c>
      <c r="H160" s="55">
        <v>2.327</v>
      </c>
      <c r="I160" s="31">
        <f t="shared" si="43"/>
        <v>0.15765171503957784</v>
      </c>
      <c r="J160" s="31">
        <f t="shared" si="44"/>
        <v>0.76748021108179421</v>
      </c>
      <c r="K160" s="31">
        <f t="shared" si="45"/>
        <v>4.221635883905013E-2</v>
      </c>
      <c r="L160" s="31">
        <f t="shared" si="46"/>
        <v>3.2651715039577839E-2</v>
      </c>
      <c r="N160" s="54" t="s">
        <v>64</v>
      </c>
      <c r="O160" s="11" t="s">
        <v>255</v>
      </c>
      <c r="P160" s="55">
        <v>0.80800000000000005</v>
      </c>
      <c r="Q160" s="55">
        <v>0.19800000000000001</v>
      </c>
      <c r="R160" s="55">
        <v>0.01</v>
      </c>
      <c r="S160" s="31">
        <f t="shared" si="47"/>
        <v>0.19488188976377954</v>
      </c>
      <c r="U160" s="31">
        <f t="shared" si="48"/>
        <v>1.0165479552358614E-2</v>
      </c>
      <c r="V160" s="31">
        <v>1</v>
      </c>
      <c r="W160" s="31">
        <v>946</v>
      </c>
      <c r="X160" s="55">
        <f t="shared" si="49"/>
        <v>673</v>
      </c>
      <c r="Z160" s="60">
        <f t="shared" si="50"/>
        <v>0.72848664995821422</v>
      </c>
      <c r="AA160" s="58"/>
    </row>
    <row r="161" spans="2:27" x14ac:dyDescent="0.55000000000000004">
      <c r="C161" s="54" t="s">
        <v>80</v>
      </c>
      <c r="D161" s="157" t="s">
        <v>389</v>
      </c>
      <c r="E161" s="55">
        <v>0.46800000000000003</v>
      </c>
      <c r="F161" s="55">
        <v>0.109</v>
      </c>
      <c r="G161" s="55">
        <v>0.123</v>
      </c>
      <c r="H161" s="55">
        <v>2.3460000000000001</v>
      </c>
      <c r="I161" s="31">
        <f t="shared" si="43"/>
        <v>0.15364412344057779</v>
      </c>
      <c r="J161" s="31">
        <f t="shared" si="44"/>
        <v>0.77019041365725538</v>
      </c>
      <c r="K161" s="31">
        <f t="shared" si="45"/>
        <v>4.0380827314510828E-2</v>
      </c>
      <c r="L161" s="31">
        <f t="shared" si="46"/>
        <v>3.578463558765594E-2</v>
      </c>
      <c r="N161" s="54" t="s">
        <v>64</v>
      </c>
      <c r="O161" s="11" t="s">
        <v>255</v>
      </c>
      <c r="P161" s="55">
        <v>0.80800000000000005</v>
      </c>
      <c r="Q161" s="55">
        <v>0.19800000000000001</v>
      </c>
      <c r="R161" s="55">
        <v>0.01</v>
      </c>
      <c r="S161" s="31">
        <f t="shared" si="47"/>
        <v>0.19488188976377954</v>
      </c>
      <c r="U161" s="31">
        <f t="shared" si="48"/>
        <v>8.8963362712190814E-3</v>
      </c>
      <c r="V161" s="31">
        <v>1</v>
      </c>
      <c r="W161" s="31">
        <v>946</v>
      </c>
      <c r="X161" s="55">
        <f t="shared" si="49"/>
        <v>673</v>
      </c>
      <c r="Z161" s="60">
        <f t="shared" si="50"/>
        <v>0.71585763924051748</v>
      </c>
      <c r="AA161" s="58"/>
    </row>
    <row r="162" spans="2:27" x14ac:dyDescent="0.55000000000000004">
      <c r="C162" s="54" t="s">
        <v>81</v>
      </c>
      <c r="D162" s="157" t="s">
        <v>389</v>
      </c>
      <c r="E162" s="55">
        <v>0.44800000000000001</v>
      </c>
      <c r="F162" s="55">
        <v>0.11</v>
      </c>
      <c r="G162" s="55">
        <v>0.114</v>
      </c>
      <c r="H162" s="55">
        <v>2.3420000000000001</v>
      </c>
      <c r="I162" s="31">
        <f t="shared" si="43"/>
        <v>0.14863968148639681</v>
      </c>
      <c r="J162" s="31">
        <f t="shared" si="44"/>
        <v>0.77704047777040475</v>
      </c>
      <c r="K162" s="31">
        <f t="shared" si="45"/>
        <v>3.7823490378234903E-2</v>
      </c>
      <c r="L162" s="31">
        <f t="shared" si="46"/>
        <v>3.6496350364963501E-2</v>
      </c>
      <c r="N162" s="54" t="s">
        <v>64</v>
      </c>
      <c r="O162" s="11" t="s">
        <v>255</v>
      </c>
      <c r="P162" s="55">
        <v>0.80800000000000005</v>
      </c>
      <c r="Q162" s="55">
        <v>0.19800000000000001</v>
      </c>
      <c r="R162" s="55">
        <v>0.01</v>
      </c>
      <c r="S162" s="31">
        <f t="shared" si="47"/>
        <v>0.19488188976377954</v>
      </c>
      <c r="U162" s="31">
        <f t="shared" si="48"/>
        <v>7.3108919122465265E-3</v>
      </c>
      <c r="V162" s="31">
        <v>1</v>
      </c>
      <c r="W162" s="31">
        <v>946</v>
      </c>
      <c r="X162" s="55">
        <f t="shared" si="49"/>
        <v>673</v>
      </c>
      <c r="Z162" s="60">
        <f t="shared" si="50"/>
        <v>0.69727046699581818</v>
      </c>
      <c r="AA162" s="58"/>
    </row>
    <row r="163" spans="2:27" s="58" customFormat="1" x14ac:dyDescent="0.55000000000000004">
      <c r="B163" s="84"/>
      <c r="C163" s="63"/>
      <c r="D163" s="63"/>
      <c r="E163" s="64"/>
      <c r="F163" s="64"/>
      <c r="G163" s="64"/>
      <c r="H163" s="64"/>
      <c r="N163" s="63"/>
      <c r="O163" s="11"/>
      <c r="P163" s="64"/>
      <c r="Q163" s="64"/>
      <c r="R163" s="64"/>
      <c r="X163" s="64"/>
      <c r="Y163" s="63" t="s">
        <v>59</v>
      </c>
      <c r="Z163" s="57">
        <f>AVERAGE(Z153:Z162)</f>
        <v>0.70658604769548872</v>
      </c>
    </row>
    <row r="164" spans="2:27" s="39" customFormat="1" x14ac:dyDescent="0.55000000000000004">
      <c r="B164" s="12"/>
      <c r="C164" s="61"/>
      <c r="D164" s="61"/>
      <c r="E164" s="62"/>
      <c r="F164" s="62"/>
      <c r="G164" s="62"/>
      <c r="H164" s="62"/>
      <c r="N164" s="61"/>
      <c r="O164" s="61"/>
      <c r="P164" s="62"/>
      <c r="Q164" s="62"/>
      <c r="R164" s="62"/>
      <c r="X164" s="62"/>
      <c r="Y164" s="61"/>
      <c r="Z164" s="177"/>
    </row>
  </sheetData>
  <mergeCells count="2">
    <mergeCell ref="C3:D3"/>
    <mergeCell ref="N3:O3"/>
  </mergeCells>
  <phoneticPr fontId="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206BE-F45E-448A-B7DC-BA9ABC200742}">
  <dimension ref="A1:Z40"/>
  <sheetViews>
    <sheetView workbookViewId="0">
      <selection activeCell="D9" sqref="D9"/>
    </sheetView>
  </sheetViews>
  <sheetFormatPr defaultRowHeight="14.4" x14ac:dyDescent="0.55000000000000004"/>
  <cols>
    <col min="1" max="1" width="13.5234375" customWidth="1"/>
    <col min="2" max="2" width="10.3125" style="11" bestFit="1" customWidth="1"/>
    <col min="3" max="3" width="11.89453125" bestFit="1" customWidth="1"/>
    <col min="4" max="4" width="29.7890625" bestFit="1" customWidth="1"/>
    <col min="14" max="14" width="22.05078125" customWidth="1"/>
    <col min="15" max="15" width="22.734375" bestFit="1" customWidth="1"/>
  </cols>
  <sheetData>
    <row r="1" spans="1:26" s="8" customFormat="1" x14ac:dyDescent="0.55000000000000004">
      <c r="A1" s="10" t="s">
        <v>85</v>
      </c>
    </row>
    <row r="2" spans="1:26" s="4" customFormat="1" x14ac:dyDescent="0.55000000000000004">
      <c r="B2" s="13"/>
    </row>
    <row r="3" spans="1:26" s="17" customFormat="1" x14ac:dyDescent="0.55000000000000004">
      <c r="A3" s="163"/>
      <c r="C3" s="195" t="s">
        <v>0</v>
      </c>
      <c r="D3" s="195"/>
      <c r="E3" s="170"/>
      <c r="F3" s="170"/>
      <c r="G3" s="170"/>
      <c r="H3" s="170"/>
      <c r="N3" s="165" t="s">
        <v>86</v>
      </c>
      <c r="O3" s="165"/>
      <c r="P3" s="170"/>
      <c r="Q3" s="170"/>
      <c r="X3" s="69"/>
    </row>
    <row r="4" spans="1:26" s="2" customFormat="1" x14ac:dyDescent="0.55000000000000004">
      <c r="A4" s="2" t="s">
        <v>69</v>
      </c>
      <c r="B4" s="14" t="s">
        <v>19</v>
      </c>
      <c r="C4" s="4" t="s">
        <v>229</v>
      </c>
      <c r="D4" s="4" t="s">
        <v>18</v>
      </c>
      <c r="E4" s="18" t="s">
        <v>3</v>
      </c>
      <c r="F4" s="18" t="s">
        <v>4</v>
      </c>
      <c r="G4" s="18" t="s">
        <v>5</v>
      </c>
      <c r="H4" s="18" t="s">
        <v>6</v>
      </c>
      <c r="I4" s="2" t="s">
        <v>7</v>
      </c>
      <c r="J4" s="2" t="s">
        <v>8</v>
      </c>
      <c r="K4" s="2" t="s">
        <v>9</v>
      </c>
      <c r="L4" s="2" t="s">
        <v>10</v>
      </c>
      <c r="N4" s="4" t="s">
        <v>229</v>
      </c>
      <c r="O4" s="4" t="s">
        <v>18</v>
      </c>
      <c r="P4" s="18" t="s">
        <v>3</v>
      </c>
      <c r="Q4" s="18" t="s">
        <v>6</v>
      </c>
      <c r="R4" s="2" t="s">
        <v>87</v>
      </c>
      <c r="S4" s="2" t="s">
        <v>88</v>
      </c>
      <c r="U4" s="2" t="s">
        <v>89</v>
      </c>
      <c r="V4" s="2" t="s">
        <v>17</v>
      </c>
      <c r="X4" s="3" t="s">
        <v>83</v>
      </c>
      <c r="Y4" s="2" t="s">
        <v>16</v>
      </c>
    </row>
    <row r="5" spans="1:26" x14ac:dyDescent="0.55000000000000004">
      <c r="A5" s="31"/>
      <c r="C5" s="31"/>
      <c r="D5" s="31"/>
      <c r="E5" s="66"/>
      <c r="F5" s="66"/>
      <c r="G5" s="66"/>
      <c r="H5" s="66"/>
      <c r="I5" s="31"/>
      <c r="J5" s="31"/>
      <c r="K5" s="31"/>
      <c r="L5" s="31"/>
      <c r="M5" s="31"/>
      <c r="N5" s="31"/>
      <c r="O5" s="31"/>
      <c r="P5" s="66"/>
      <c r="Q5" s="66"/>
      <c r="R5" s="31"/>
      <c r="S5" s="31"/>
      <c r="T5" s="31"/>
      <c r="U5" s="31"/>
      <c r="V5" s="31"/>
      <c r="W5" s="31"/>
      <c r="X5" s="56"/>
      <c r="Y5" s="31"/>
      <c r="Z5" s="31"/>
    </row>
    <row r="6" spans="1:26" x14ac:dyDescent="0.55000000000000004">
      <c r="A6" s="31" t="s">
        <v>90</v>
      </c>
      <c r="B6" s="11" t="s">
        <v>204</v>
      </c>
      <c r="C6" s="31" t="s">
        <v>91</v>
      </c>
      <c r="D6" s="11" t="s">
        <v>362</v>
      </c>
      <c r="E6" s="66">
        <v>0.25600000000000001</v>
      </c>
      <c r="F6" s="66">
        <v>0.19400000000000001</v>
      </c>
      <c r="G6" s="66">
        <v>0.313</v>
      </c>
      <c r="H6" s="66">
        <v>2.218</v>
      </c>
      <c r="I6" s="31">
        <f t="shared" ref="I6:I16" si="0">E6/(SUM(E6:H6))</f>
        <v>8.5877222408587722E-2</v>
      </c>
      <c r="J6" s="31">
        <f t="shared" ref="J6:J16" si="1">H6/(SUM(E6:H6))</f>
        <v>0.74404562227440463</v>
      </c>
      <c r="K6" s="31">
        <f t="shared" ref="K6:K16" si="2">G6/(SUM(E6:H6))</f>
        <v>0.10499832271049983</v>
      </c>
      <c r="L6" s="31">
        <f t="shared" ref="L6:L16" si="3">F6/(SUM(E6:H6))</f>
        <v>6.5078832606507889E-2</v>
      </c>
      <c r="M6" s="31"/>
      <c r="N6" s="31" t="s">
        <v>92</v>
      </c>
      <c r="O6" s="156" t="s">
        <v>256</v>
      </c>
      <c r="P6" s="66">
        <v>5.6000000000000001E-2</v>
      </c>
      <c r="Q6" s="66">
        <v>7.1999999999999995E-2</v>
      </c>
      <c r="R6" s="31">
        <f t="shared" ref="R6:R16" si="4">P6/(SUM(P6:Q6))</f>
        <v>0.4375</v>
      </c>
      <c r="S6" s="31">
        <f t="shared" ref="S6:S16" si="5">Q6/(SUM(P6:Q6))</f>
        <v>0.5625</v>
      </c>
      <c r="T6" s="31"/>
      <c r="U6" s="31">
        <f t="shared" ref="U6:U16" si="6">(I6/J6)/(R6/S6)</f>
        <v>0.14839623856756406</v>
      </c>
      <c r="V6" s="31">
        <v>1.0824799999999999</v>
      </c>
      <c r="W6" s="31"/>
      <c r="X6" s="19">
        <f t="shared" ref="X6:X16" si="7">218.6*(LN(U6))+11.51*V6+328.5*K6+1009.9</f>
        <v>639.79106589064327</v>
      </c>
      <c r="Y6" s="31">
        <f t="shared" ref="Y6:Y29" si="8">X6+273.15</f>
        <v>912.94106589064324</v>
      </c>
      <c r="Z6" s="31"/>
    </row>
    <row r="7" spans="1:26" x14ac:dyDescent="0.55000000000000004">
      <c r="A7" s="31"/>
      <c r="C7" s="31" t="s">
        <v>93</v>
      </c>
      <c r="D7" s="11" t="s">
        <v>239</v>
      </c>
      <c r="E7" s="66">
        <v>0.30399999999999999</v>
      </c>
      <c r="F7" s="66">
        <v>0.16200000000000001</v>
      </c>
      <c r="G7" s="66">
        <v>0.33300000000000002</v>
      </c>
      <c r="H7" s="66">
        <v>2.177</v>
      </c>
      <c r="I7" s="31">
        <f t="shared" si="0"/>
        <v>0.10215053763440859</v>
      </c>
      <c r="J7" s="31">
        <f t="shared" si="1"/>
        <v>0.73151881720430112</v>
      </c>
      <c r="K7" s="31">
        <f t="shared" si="2"/>
        <v>0.11189516129032259</v>
      </c>
      <c r="L7" s="31">
        <f t="shared" si="3"/>
        <v>5.4435483870967742E-2</v>
      </c>
      <c r="M7" s="31"/>
      <c r="N7" s="31" t="s">
        <v>94</v>
      </c>
      <c r="O7" s="156" t="s">
        <v>257</v>
      </c>
      <c r="P7" s="66">
        <v>7.5999999999999998E-2</v>
      </c>
      <c r="Q7" s="66">
        <v>6.8000000000000005E-2</v>
      </c>
      <c r="R7" s="31">
        <f t="shared" si="4"/>
        <v>0.52777777777777768</v>
      </c>
      <c r="S7" s="31">
        <f t="shared" si="5"/>
        <v>0.47222222222222221</v>
      </c>
      <c r="T7" s="31"/>
      <c r="U7" s="31">
        <f t="shared" si="6"/>
        <v>0.1249425815342214</v>
      </c>
      <c r="V7" s="31">
        <v>1.2443199999999996</v>
      </c>
      <c r="W7" s="31"/>
      <c r="X7" s="19">
        <f t="shared" si="7"/>
        <v>606.313326190304</v>
      </c>
      <c r="Y7" s="31">
        <f t="shared" si="8"/>
        <v>879.46332619030397</v>
      </c>
      <c r="Z7" s="31"/>
    </row>
    <row r="8" spans="1:26" x14ac:dyDescent="0.55000000000000004">
      <c r="A8" s="31"/>
      <c r="C8" s="31" t="s">
        <v>95</v>
      </c>
      <c r="D8" s="11" t="s">
        <v>240</v>
      </c>
      <c r="E8" s="66">
        <v>0.33200000000000002</v>
      </c>
      <c r="F8" s="66">
        <v>0.14199999999999999</v>
      </c>
      <c r="G8" s="66">
        <v>0.34599999999999997</v>
      </c>
      <c r="H8" s="66">
        <v>2.1749999999999998</v>
      </c>
      <c r="I8" s="31">
        <f t="shared" si="0"/>
        <v>0.11085141903171955</v>
      </c>
      <c r="J8" s="31">
        <f t="shared" si="1"/>
        <v>0.72621035058430716</v>
      </c>
      <c r="K8" s="31">
        <f t="shared" si="2"/>
        <v>0.11552587646076795</v>
      </c>
      <c r="L8" s="31">
        <f t="shared" si="3"/>
        <v>4.7412353923205343E-2</v>
      </c>
      <c r="M8" s="31"/>
      <c r="N8" s="31" t="s">
        <v>96</v>
      </c>
      <c r="O8" s="156" t="s">
        <v>258</v>
      </c>
      <c r="P8" s="66">
        <v>9.1999999999999998E-2</v>
      </c>
      <c r="Q8" s="66">
        <v>7.5999999999999998E-2</v>
      </c>
      <c r="R8" s="31">
        <f t="shared" si="4"/>
        <v>0.54761904761904767</v>
      </c>
      <c r="S8" s="31">
        <f t="shared" si="5"/>
        <v>0.45238095238095244</v>
      </c>
      <c r="T8" s="31"/>
      <c r="U8" s="31">
        <f t="shared" si="6"/>
        <v>0.12609695152423789</v>
      </c>
      <c r="V8" s="31">
        <v>1.3572799999999998</v>
      </c>
      <c r="W8" s="31"/>
      <c r="X8" s="19">
        <f t="shared" si="7"/>
        <v>610.81660261209777</v>
      </c>
      <c r="Y8" s="31">
        <f t="shared" si="8"/>
        <v>883.96660261209774</v>
      </c>
      <c r="Z8" s="31"/>
    </row>
    <row r="9" spans="1:26" x14ac:dyDescent="0.55000000000000004">
      <c r="A9" s="31"/>
      <c r="C9" s="31" t="s">
        <v>97</v>
      </c>
      <c r="D9" s="11" t="s">
        <v>241</v>
      </c>
      <c r="E9" s="66">
        <v>0.28599999999999998</v>
      </c>
      <c r="F9" s="66">
        <v>0.1</v>
      </c>
      <c r="G9" s="66">
        <v>0.26700000000000002</v>
      </c>
      <c r="H9" s="66">
        <v>1.7729999999999999</v>
      </c>
      <c r="I9" s="31">
        <f t="shared" si="0"/>
        <v>0.11788953009068423</v>
      </c>
      <c r="J9" s="31">
        <f t="shared" si="1"/>
        <v>0.73083264633140965</v>
      </c>
      <c r="K9" s="31">
        <f t="shared" si="2"/>
        <v>0.11005770816158285</v>
      </c>
      <c r="L9" s="31">
        <f t="shared" si="3"/>
        <v>4.1220115416323165E-2</v>
      </c>
      <c r="M9" s="31"/>
      <c r="N9" s="31" t="s">
        <v>98</v>
      </c>
      <c r="O9" s="156" t="s">
        <v>259</v>
      </c>
      <c r="P9" s="66">
        <v>0.108</v>
      </c>
      <c r="Q9" s="66">
        <v>7.5999999999999998E-2</v>
      </c>
      <c r="R9" s="31">
        <f t="shared" si="4"/>
        <v>0.58695652173913049</v>
      </c>
      <c r="S9" s="31">
        <f t="shared" si="5"/>
        <v>0.41304347826086957</v>
      </c>
      <c r="T9" s="31"/>
      <c r="U9" s="31">
        <f t="shared" si="6"/>
        <v>0.11351340059743892</v>
      </c>
      <c r="V9" s="31">
        <v>1.4220799999999998</v>
      </c>
      <c r="W9" s="31"/>
      <c r="X9" s="19">
        <f t="shared" si="7"/>
        <v>586.78470200571542</v>
      </c>
      <c r="Y9" s="31">
        <f t="shared" si="8"/>
        <v>859.93470200571539</v>
      </c>
      <c r="Z9" s="31"/>
    </row>
    <row r="10" spans="1:26" x14ac:dyDescent="0.55000000000000004">
      <c r="A10" s="31"/>
      <c r="C10" s="31" t="s">
        <v>99</v>
      </c>
      <c r="D10" s="11" t="s">
        <v>242</v>
      </c>
      <c r="E10" s="66">
        <v>0.254</v>
      </c>
      <c r="F10" s="66">
        <v>7.1999999999999995E-2</v>
      </c>
      <c r="G10" s="66">
        <v>0.17699999999999999</v>
      </c>
      <c r="H10" s="66">
        <v>1.3140000000000001</v>
      </c>
      <c r="I10" s="31">
        <f t="shared" si="0"/>
        <v>0.13979086406164004</v>
      </c>
      <c r="J10" s="31">
        <f t="shared" si="1"/>
        <v>0.72317006053935051</v>
      </c>
      <c r="K10" s="31">
        <f t="shared" si="2"/>
        <v>9.7413318657127115E-2</v>
      </c>
      <c r="L10" s="31">
        <f t="shared" si="3"/>
        <v>3.9625756741882213E-2</v>
      </c>
      <c r="M10" s="31"/>
      <c r="N10" s="31" t="s">
        <v>58</v>
      </c>
      <c r="O10" s="156" t="s">
        <v>263</v>
      </c>
      <c r="P10" s="66">
        <v>8.3000000000000004E-2</v>
      </c>
      <c r="Q10" s="66">
        <v>7.3000000000000009E-2</v>
      </c>
      <c r="R10" s="31">
        <f t="shared" si="4"/>
        <v>0.53205128205128194</v>
      </c>
      <c r="S10" s="31">
        <f t="shared" si="5"/>
        <v>0.46794871794871795</v>
      </c>
      <c r="T10" s="31"/>
      <c r="U10" s="31">
        <f t="shared" si="6"/>
        <v>0.17001338688085679</v>
      </c>
      <c r="V10" s="31">
        <v>1.3</v>
      </c>
      <c r="W10" s="31"/>
      <c r="X10" s="19">
        <f t="shared" si="7"/>
        <v>669.53072280868059</v>
      </c>
      <c r="Y10" s="31">
        <f t="shared" si="8"/>
        <v>942.68072280868057</v>
      </c>
      <c r="Z10" s="31"/>
    </row>
    <row r="11" spans="1:26" x14ac:dyDescent="0.55000000000000004">
      <c r="A11" s="31"/>
      <c r="C11" s="31" t="s">
        <v>100</v>
      </c>
      <c r="D11" s="11" t="s">
        <v>243</v>
      </c>
      <c r="E11" s="66">
        <v>0.217</v>
      </c>
      <c r="F11" s="66">
        <v>7.5999999999999998E-2</v>
      </c>
      <c r="G11" s="66">
        <v>0.189</v>
      </c>
      <c r="H11" s="66">
        <v>1.341</v>
      </c>
      <c r="I11" s="31">
        <f t="shared" si="0"/>
        <v>0.11903455842018651</v>
      </c>
      <c r="J11" s="31">
        <f t="shared" si="1"/>
        <v>0.7356006582556226</v>
      </c>
      <c r="K11" s="31">
        <f t="shared" si="2"/>
        <v>0.10367526055951728</v>
      </c>
      <c r="L11" s="31">
        <f t="shared" si="3"/>
        <v>4.1689522764673616E-2</v>
      </c>
      <c r="M11" s="31"/>
      <c r="N11" s="31" t="s">
        <v>58</v>
      </c>
      <c r="O11" s="156" t="s">
        <v>263</v>
      </c>
      <c r="P11" s="66">
        <v>8.3000000000000004E-2</v>
      </c>
      <c r="Q11" s="66">
        <v>7.3000000000000009E-2</v>
      </c>
      <c r="R11" s="31">
        <f t="shared" si="4"/>
        <v>0.53205128205128194</v>
      </c>
      <c r="S11" s="31">
        <f t="shared" si="5"/>
        <v>0.46794871794871795</v>
      </c>
      <c r="T11" s="31"/>
      <c r="U11" s="31">
        <f t="shared" si="6"/>
        <v>0.14232320782009472</v>
      </c>
      <c r="V11" s="31">
        <v>1.3</v>
      </c>
      <c r="W11" s="31"/>
      <c r="X11" s="19">
        <f t="shared" si="7"/>
        <v>632.72580646307301</v>
      </c>
      <c r="Y11" s="31">
        <f t="shared" si="8"/>
        <v>905.87580646307299</v>
      </c>
      <c r="Z11" s="31"/>
    </row>
    <row r="12" spans="1:26" x14ac:dyDescent="0.55000000000000004">
      <c r="A12" s="31"/>
      <c r="C12" s="31" t="s">
        <v>101</v>
      </c>
      <c r="D12" s="11" t="s">
        <v>244</v>
      </c>
      <c r="E12" s="66">
        <v>0.216</v>
      </c>
      <c r="F12" s="66">
        <v>7.0999999999999994E-2</v>
      </c>
      <c r="G12" s="66">
        <v>0.188</v>
      </c>
      <c r="H12" s="66">
        <v>1.351</v>
      </c>
      <c r="I12" s="31">
        <f t="shared" si="0"/>
        <v>0.11829134720700986</v>
      </c>
      <c r="J12" s="31">
        <f t="shared" si="1"/>
        <v>0.73986856516976995</v>
      </c>
      <c r="K12" s="31">
        <f t="shared" si="2"/>
        <v>0.10295728368017525</v>
      </c>
      <c r="L12" s="31">
        <f t="shared" si="3"/>
        <v>3.88828039430449E-2</v>
      </c>
      <c r="M12" s="31"/>
      <c r="N12" s="31" t="s">
        <v>58</v>
      </c>
      <c r="O12" s="156" t="s">
        <v>263</v>
      </c>
      <c r="P12" s="66">
        <v>8.3000000000000004E-2</v>
      </c>
      <c r="Q12" s="66">
        <v>7.3000000000000009E-2</v>
      </c>
      <c r="R12" s="31">
        <f t="shared" si="4"/>
        <v>0.53205128205128194</v>
      </c>
      <c r="S12" s="31">
        <f t="shared" si="5"/>
        <v>0.46794871794871795</v>
      </c>
      <c r="T12" s="31"/>
      <c r="U12" s="31">
        <f t="shared" si="6"/>
        <v>0.1406187295443804</v>
      </c>
      <c r="V12" s="31">
        <v>1.3</v>
      </c>
      <c r="W12" s="31"/>
      <c r="X12" s="19">
        <f t="shared" si="7"/>
        <v>629.85617070129865</v>
      </c>
      <c r="Y12" s="31">
        <f t="shared" si="8"/>
        <v>903.00617070129863</v>
      </c>
      <c r="Z12" s="31"/>
    </row>
    <row r="13" spans="1:26" x14ac:dyDescent="0.55000000000000004">
      <c r="A13" s="31"/>
      <c r="C13" s="31" t="s">
        <v>102</v>
      </c>
      <c r="D13" s="11" t="s">
        <v>245</v>
      </c>
      <c r="E13" s="66">
        <v>0.374</v>
      </c>
      <c r="F13" s="66">
        <v>0.104</v>
      </c>
      <c r="G13" s="66">
        <v>0.374</v>
      </c>
      <c r="H13" s="66">
        <v>2.1549999999999998</v>
      </c>
      <c r="I13" s="31">
        <f t="shared" si="0"/>
        <v>0.1243764549384769</v>
      </c>
      <c r="J13" s="31">
        <f t="shared" si="1"/>
        <v>0.71666112404389759</v>
      </c>
      <c r="K13" s="31">
        <f t="shared" si="2"/>
        <v>0.1243764549384769</v>
      </c>
      <c r="L13" s="31">
        <f t="shared" si="3"/>
        <v>3.4585966079148656E-2</v>
      </c>
      <c r="M13" s="31"/>
      <c r="N13" s="31" t="s">
        <v>58</v>
      </c>
      <c r="O13" s="156" t="s">
        <v>263</v>
      </c>
      <c r="P13" s="66">
        <v>8.3000000000000004E-2</v>
      </c>
      <c r="Q13" s="66">
        <v>7.3000000000000009E-2</v>
      </c>
      <c r="R13" s="31">
        <f t="shared" si="4"/>
        <v>0.53205128205128194</v>
      </c>
      <c r="S13" s="31">
        <f t="shared" si="5"/>
        <v>0.46794871794871795</v>
      </c>
      <c r="T13" s="31"/>
      <c r="U13" s="31">
        <f t="shared" si="6"/>
        <v>0.15264025941352422</v>
      </c>
      <c r="V13" s="31">
        <v>1.3</v>
      </c>
      <c r="W13" s="31"/>
      <c r="X13" s="19">
        <f t="shared" si="7"/>
        <v>654.82450357803486</v>
      </c>
      <c r="Y13" s="31">
        <f t="shared" si="8"/>
        <v>927.97450357803484</v>
      </c>
      <c r="Z13" s="31"/>
    </row>
    <row r="14" spans="1:26" x14ac:dyDescent="0.55000000000000004">
      <c r="A14" s="31"/>
      <c r="C14" s="31" t="s">
        <v>103</v>
      </c>
      <c r="D14" s="11" t="s">
        <v>246</v>
      </c>
      <c r="E14" s="66">
        <v>0.39200000000000002</v>
      </c>
      <c r="F14" s="66">
        <v>9.4E-2</v>
      </c>
      <c r="G14" s="66">
        <v>0.39700000000000002</v>
      </c>
      <c r="H14" s="66">
        <v>2.1259999999999999</v>
      </c>
      <c r="I14" s="31">
        <f t="shared" si="0"/>
        <v>0.13027583914921903</v>
      </c>
      <c r="J14" s="31">
        <f t="shared" si="1"/>
        <v>0.70654702558989702</v>
      </c>
      <c r="K14" s="31">
        <f t="shared" si="2"/>
        <v>0.13193752077102028</v>
      </c>
      <c r="L14" s="31">
        <f t="shared" si="3"/>
        <v>3.1239614489863742E-2</v>
      </c>
      <c r="M14" s="31"/>
      <c r="N14" s="31" t="s">
        <v>58</v>
      </c>
      <c r="O14" s="156" t="s">
        <v>263</v>
      </c>
      <c r="P14" s="66">
        <v>8.3000000000000004E-2</v>
      </c>
      <c r="Q14" s="66">
        <v>7.3000000000000009E-2</v>
      </c>
      <c r="R14" s="31">
        <f t="shared" si="4"/>
        <v>0.53205128205128194</v>
      </c>
      <c r="S14" s="31">
        <f t="shared" si="5"/>
        <v>0.46794871794871795</v>
      </c>
      <c r="T14" s="31"/>
      <c r="U14" s="31">
        <f t="shared" si="6"/>
        <v>0.16216890138163198</v>
      </c>
      <c r="V14" s="31">
        <v>1.3</v>
      </c>
      <c r="W14" s="31"/>
      <c r="X14" s="19">
        <f t="shared" si="7"/>
        <v>670.5455243462236</v>
      </c>
      <c r="Y14" s="31">
        <f t="shared" si="8"/>
        <v>943.69552434622358</v>
      </c>
      <c r="Z14" s="31"/>
    </row>
    <row r="15" spans="1:26" x14ac:dyDescent="0.55000000000000004">
      <c r="A15" s="31"/>
      <c r="C15" s="31" t="s">
        <v>104</v>
      </c>
      <c r="D15" s="11" t="s">
        <v>247</v>
      </c>
      <c r="E15" s="66">
        <v>0.40899999999999997</v>
      </c>
      <c r="F15" s="66">
        <v>8.5000000000000006E-2</v>
      </c>
      <c r="G15" s="66">
        <v>0.38100000000000001</v>
      </c>
      <c r="H15" s="66">
        <v>2.1360000000000001</v>
      </c>
      <c r="I15" s="31">
        <f t="shared" si="0"/>
        <v>0.1358352706741946</v>
      </c>
      <c r="J15" s="31">
        <f t="shared" si="1"/>
        <v>0.70939887080704089</v>
      </c>
      <c r="K15" s="31">
        <f t="shared" si="2"/>
        <v>0.12653603454001994</v>
      </c>
      <c r="L15" s="31">
        <f t="shared" si="3"/>
        <v>2.8229823978744604E-2</v>
      </c>
      <c r="M15" s="31"/>
      <c r="N15" s="31" t="s">
        <v>58</v>
      </c>
      <c r="O15" s="156" t="s">
        <v>263</v>
      </c>
      <c r="P15" s="66">
        <v>8.3000000000000004E-2</v>
      </c>
      <c r="Q15" s="66">
        <v>7.3000000000000009E-2</v>
      </c>
      <c r="R15" s="31">
        <f t="shared" si="4"/>
        <v>0.53205128205128194</v>
      </c>
      <c r="S15" s="31">
        <f t="shared" si="5"/>
        <v>0.46794871794871795</v>
      </c>
      <c r="T15" s="31"/>
      <c r="U15" s="31">
        <f t="shared" si="6"/>
        <v>0.16840959342989939</v>
      </c>
      <c r="V15" s="31">
        <v>1.3</v>
      </c>
      <c r="W15" s="31"/>
      <c r="X15" s="19">
        <f t="shared" si="7"/>
        <v>677.02561969054841</v>
      </c>
      <c r="Y15" s="31">
        <f t="shared" si="8"/>
        <v>950.17561969054839</v>
      </c>
      <c r="Z15" s="31"/>
    </row>
    <row r="16" spans="1:26" x14ac:dyDescent="0.55000000000000004">
      <c r="A16" s="31"/>
      <c r="C16" s="31" t="s">
        <v>105</v>
      </c>
      <c r="D16" s="11" t="s">
        <v>250</v>
      </c>
      <c r="E16" s="66">
        <v>0.41699999999999998</v>
      </c>
      <c r="F16" s="66">
        <v>8.4000000000000005E-2</v>
      </c>
      <c r="G16" s="66">
        <v>0.38</v>
      </c>
      <c r="H16" s="66">
        <v>2.16</v>
      </c>
      <c r="I16" s="31">
        <f t="shared" si="0"/>
        <v>0.13712594541269316</v>
      </c>
      <c r="J16" s="31">
        <f t="shared" si="1"/>
        <v>0.71029266688589277</v>
      </c>
      <c r="K16" s="31">
        <f t="shared" si="2"/>
        <v>0.12495889510029594</v>
      </c>
      <c r="L16" s="31">
        <f t="shared" si="3"/>
        <v>2.7622492601118053E-2</v>
      </c>
      <c r="M16" s="31"/>
      <c r="N16" s="31" t="s">
        <v>58</v>
      </c>
      <c r="O16" s="156" t="s">
        <v>263</v>
      </c>
      <c r="P16" s="66">
        <v>8.3000000000000004E-2</v>
      </c>
      <c r="Q16" s="66">
        <v>7.3000000000000009E-2</v>
      </c>
      <c r="R16" s="31">
        <f t="shared" si="4"/>
        <v>0.53205128205128194</v>
      </c>
      <c r="S16" s="31">
        <f t="shared" si="5"/>
        <v>0.46794871794871795</v>
      </c>
      <c r="T16" s="31"/>
      <c r="U16" s="31">
        <f t="shared" si="6"/>
        <v>0.1697958500669344</v>
      </c>
      <c r="V16" s="31">
        <v>1.3</v>
      </c>
      <c r="W16" s="31"/>
      <c r="X16" s="19">
        <f t="shared" si="7"/>
        <v>678.29956084811033</v>
      </c>
      <c r="Y16" s="31">
        <f t="shared" si="8"/>
        <v>951.44956084811031</v>
      </c>
      <c r="Z16" s="31"/>
    </row>
    <row r="17" spans="1:26" s="9" customFormat="1" x14ac:dyDescent="0.55000000000000004">
      <c r="A17" s="31"/>
      <c r="B17" s="6"/>
      <c r="C17" s="54"/>
      <c r="D17" s="54"/>
      <c r="E17" s="66"/>
      <c r="F17" s="66"/>
      <c r="G17" s="66"/>
      <c r="H17" s="66"/>
      <c r="I17" s="54"/>
      <c r="J17" s="54"/>
      <c r="K17" s="54"/>
      <c r="L17" s="54"/>
      <c r="M17" s="54"/>
      <c r="N17" s="54"/>
      <c r="O17" s="54"/>
      <c r="P17" s="66"/>
      <c r="Q17" s="66"/>
      <c r="R17" s="54"/>
      <c r="S17" s="54"/>
      <c r="T17" s="54"/>
      <c r="U17" s="54"/>
      <c r="V17" s="54"/>
      <c r="W17" s="54" t="s">
        <v>59</v>
      </c>
      <c r="X17" s="20">
        <f>AVERAGE(X6:X16)</f>
        <v>641.50123683043</v>
      </c>
      <c r="Y17" s="54">
        <f t="shared" si="8"/>
        <v>914.65123683042998</v>
      </c>
      <c r="Z17" s="54"/>
    </row>
    <row r="18" spans="1:26" s="9" customFormat="1" x14ac:dyDescent="0.55000000000000004">
      <c r="A18" s="31"/>
      <c r="B18" s="6"/>
      <c r="C18" s="54"/>
      <c r="D18" s="54"/>
      <c r="E18" s="66"/>
      <c r="F18" s="66"/>
      <c r="G18" s="66"/>
      <c r="H18" s="66"/>
      <c r="I18" s="54"/>
      <c r="J18" s="54"/>
      <c r="K18" s="54"/>
      <c r="L18" s="54"/>
      <c r="M18" s="54"/>
      <c r="N18" s="54"/>
      <c r="O18" s="54"/>
      <c r="P18" s="66"/>
      <c r="Q18" s="66"/>
      <c r="R18" s="54"/>
      <c r="S18" s="54"/>
      <c r="T18" s="54"/>
      <c r="U18" s="54"/>
      <c r="V18" s="54"/>
      <c r="W18" s="54"/>
      <c r="X18" s="21"/>
      <c r="Y18" s="54"/>
      <c r="Z18" s="54"/>
    </row>
    <row r="19" spans="1:26" x14ac:dyDescent="0.55000000000000004">
      <c r="A19" s="31"/>
      <c r="B19" s="11" t="s">
        <v>84</v>
      </c>
      <c r="C19" s="31" t="s">
        <v>106</v>
      </c>
      <c r="D19" s="11" t="s">
        <v>265</v>
      </c>
      <c r="E19" s="66">
        <v>0.45600000000000002</v>
      </c>
      <c r="F19" s="66">
        <v>6.0999999999999999E-2</v>
      </c>
      <c r="G19" s="66">
        <v>0.42799999999999999</v>
      </c>
      <c r="H19" s="66">
        <v>2.0790000000000002</v>
      </c>
      <c r="I19" s="31">
        <f t="shared" ref="I19:I28" si="9">E19/(SUM(E19:H19))</f>
        <v>0.15079365079365079</v>
      </c>
      <c r="J19" s="31">
        <f t="shared" ref="J19:J28" si="10">H19/(SUM(E19:H19))</f>
        <v>0.6875</v>
      </c>
      <c r="K19" s="31">
        <f t="shared" ref="K19:K28" si="11">G19/(SUM(E19:H19))</f>
        <v>0.14153439153439154</v>
      </c>
      <c r="L19" s="31">
        <f t="shared" ref="L19:L28" si="12">F19/(SUM(E19:H19))</f>
        <v>2.0171957671957671E-2</v>
      </c>
      <c r="M19" s="31"/>
      <c r="N19" s="31" t="s">
        <v>275</v>
      </c>
      <c r="O19" s="11" t="s">
        <v>264</v>
      </c>
      <c r="P19" s="66">
        <v>9.9750000000000005E-2</v>
      </c>
      <c r="Q19" s="66">
        <v>7.4499999999999997E-2</v>
      </c>
      <c r="R19" s="31">
        <f t="shared" ref="R19:R28" si="13">P19/(SUM(P19:Q19))</f>
        <v>0.5724533715925394</v>
      </c>
      <c r="S19" s="31">
        <f t="shared" ref="S19:S28" si="14">Q19/(SUM(P19:Q19))</f>
        <v>0.42754662840746049</v>
      </c>
      <c r="T19" s="31"/>
      <c r="U19" s="31">
        <f t="shared" ref="U19:U28" si="15">(I19/J19)/(R19/S19)</f>
        <v>0.16381502095787809</v>
      </c>
      <c r="V19" s="31">
        <v>1.5</v>
      </c>
      <c r="W19" s="31"/>
      <c r="X19" s="19">
        <f t="shared" ref="X19:X28" si="16">218.6*(LN(U19))+11.51*V19+328.5*K19+1009.9</f>
        <v>678.20784207108807</v>
      </c>
      <c r="Y19" s="31">
        <f t="shared" si="8"/>
        <v>951.35784207108804</v>
      </c>
      <c r="Z19" s="31"/>
    </row>
    <row r="20" spans="1:26" x14ac:dyDescent="0.55000000000000004">
      <c r="A20" s="31"/>
      <c r="C20" s="31" t="s">
        <v>107</v>
      </c>
      <c r="D20" s="11" t="s">
        <v>266</v>
      </c>
      <c r="E20" s="66">
        <v>0.45100000000000001</v>
      </c>
      <c r="F20" s="66">
        <v>6.6000000000000003E-2</v>
      </c>
      <c r="G20" s="66">
        <v>0.41299999999999998</v>
      </c>
      <c r="H20" s="66">
        <v>2.1070000000000002</v>
      </c>
      <c r="I20" s="31">
        <f t="shared" si="9"/>
        <v>0.14850181099769511</v>
      </c>
      <c r="J20" s="31">
        <f t="shared" si="10"/>
        <v>0.6937767533750413</v>
      </c>
      <c r="K20" s="31">
        <f t="shared" si="11"/>
        <v>0.13598946328613762</v>
      </c>
      <c r="L20" s="31">
        <f t="shared" si="12"/>
        <v>2.1731972341126112E-2</v>
      </c>
      <c r="M20" s="31"/>
      <c r="N20" s="31" t="s">
        <v>275</v>
      </c>
      <c r="O20" s="11" t="s">
        <v>264</v>
      </c>
      <c r="P20" s="66">
        <v>9.9750000000000005E-2</v>
      </c>
      <c r="Q20" s="66">
        <v>7.4499999999999997E-2</v>
      </c>
      <c r="R20" s="31">
        <f t="shared" si="13"/>
        <v>0.5724533715925394</v>
      </c>
      <c r="S20" s="31">
        <f t="shared" si="14"/>
        <v>0.42754662840746049</v>
      </c>
      <c r="T20" s="31"/>
      <c r="U20" s="31">
        <f t="shared" si="15"/>
        <v>0.15986572982051711</v>
      </c>
      <c r="V20" s="31">
        <v>1.5</v>
      </c>
      <c r="W20" s="31"/>
      <c r="X20" s="19">
        <f t="shared" si="16"/>
        <v>671.0517070651432</v>
      </c>
      <c r="Y20" s="31">
        <f t="shared" si="8"/>
        <v>944.20170706514318</v>
      </c>
      <c r="Z20" s="31"/>
    </row>
    <row r="21" spans="1:26" x14ac:dyDescent="0.55000000000000004">
      <c r="A21" s="31"/>
      <c r="C21" s="31" t="s">
        <v>108</v>
      </c>
      <c r="D21" s="11" t="s">
        <v>267</v>
      </c>
      <c r="E21" s="66">
        <v>0.439</v>
      </c>
      <c r="F21" s="66">
        <v>6.0999999999999999E-2</v>
      </c>
      <c r="G21" s="66">
        <v>0.45300000000000001</v>
      </c>
      <c r="H21" s="66">
        <v>2.0720000000000001</v>
      </c>
      <c r="I21" s="31">
        <f t="shared" si="9"/>
        <v>0.14512396694214874</v>
      </c>
      <c r="J21" s="31">
        <f t="shared" si="10"/>
        <v>0.68495867768595031</v>
      </c>
      <c r="K21" s="31">
        <f t="shared" si="11"/>
        <v>0.14975206611570246</v>
      </c>
      <c r="L21" s="31">
        <f t="shared" si="12"/>
        <v>2.0165289256198343E-2</v>
      </c>
      <c r="M21" s="31"/>
      <c r="N21" s="31" t="s">
        <v>275</v>
      </c>
      <c r="O21" s="11" t="s">
        <v>264</v>
      </c>
      <c r="P21" s="66">
        <v>9.9750000000000005E-2</v>
      </c>
      <c r="Q21" s="66">
        <v>7.4499999999999997E-2</v>
      </c>
      <c r="R21" s="31">
        <f t="shared" si="13"/>
        <v>0.5724533715925394</v>
      </c>
      <c r="S21" s="31">
        <f t="shared" si="14"/>
        <v>0.42754662840746049</v>
      </c>
      <c r="T21" s="31"/>
      <c r="U21" s="31">
        <f t="shared" si="15"/>
        <v>0.15824067891737065</v>
      </c>
      <c r="V21" s="31">
        <v>1.5</v>
      </c>
      <c r="W21" s="31"/>
      <c r="X21" s="19">
        <f t="shared" si="16"/>
        <v>673.33926053646678</v>
      </c>
      <c r="Y21" s="31">
        <f t="shared" si="8"/>
        <v>946.48926053646676</v>
      </c>
      <c r="Z21" s="31"/>
    </row>
    <row r="22" spans="1:26" x14ac:dyDescent="0.55000000000000004">
      <c r="A22" s="31"/>
      <c r="B22" s="31"/>
      <c r="C22" s="31" t="s">
        <v>109</v>
      </c>
      <c r="D22" s="11" t="s">
        <v>268</v>
      </c>
      <c r="E22" s="66">
        <v>0.442</v>
      </c>
      <c r="F22" s="66">
        <v>6.0999999999999999E-2</v>
      </c>
      <c r="G22" s="66">
        <v>0.44700000000000001</v>
      </c>
      <c r="H22" s="66">
        <v>2.0840000000000001</v>
      </c>
      <c r="I22" s="31">
        <f t="shared" si="9"/>
        <v>0.14568226763348716</v>
      </c>
      <c r="J22" s="31">
        <f t="shared" si="10"/>
        <v>0.68688200395517474</v>
      </c>
      <c r="K22" s="31">
        <f t="shared" si="11"/>
        <v>0.14733025708635467</v>
      </c>
      <c r="L22" s="31">
        <f t="shared" si="12"/>
        <v>2.0105471324983522E-2</v>
      </c>
      <c r="M22" s="31"/>
      <c r="N22" s="31" t="s">
        <v>275</v>
      </c>
      <c r="O22" s="11" t="s">
        <v>264</v>
      </c>
      <c r="P22" s="66">
        <v>9.9750000000000005E-2</v>
      </c>
      <c r="Q22" s="66">
        <v>7.4499999999999997E-2</v>
      </c>
      <c r="R22" s="31">
        <f t="shared" si="13"/>
        <v>0.5724533715925394</v>
      </c>
      <c r="S22" s="31">
        <f t="shared" si="14"/>
        <v>0.42754662840746049</v>
      </c>
      <c r="T22" s="31"/>
      <c r="U22" s="31">
        <f t="shared" si="15"/>
        <v>0.15840464885823002</v>
      </c>
      <c r="V22" s="31">
        <v>1.5</v>
      </c>
      <c r="W22" s="31"/>
      <c r="X22" s="19">
        <f t="shared" si="16"/>
        <v>672.77009362491538</v>
      </c>
      <c r="Y22" s="31">
        <f t="shared" si="8"/>
        <v>945.92009362491535</v>
      </c>
      <c r="Z22" s="31"/>
    </row>
    <row r="23" spans="1:26" x14ac:dyDescent="0.55000000000000004">
      <c r="A23" s="31"/>
      <c r="B23" s="31"/>
      <c r="C23" s="31" t="s">
        <v>110</v>
      </c>
      <c r="D23" s="11" t="s">
        <v>269</v>
      </c>
      <c r="E23" s="66">
        <v>0.45900000000000002</v>
      </c>
      <c r="F23" s="66">
        <v>7.0000000000000007E-2</v>
      </c>
      <c r="G23" s="66">
        <v>0.42599999999999999</v>
      </c>
      <c r="H23" s="66">
        <v>2.09</v>
      </c>
      <c r="I23" s="31">
        <f t="shared" si="9"/>
        <v>0.15073891625615765</v>
      </c>
      <c r="J23" s="31">
        <f t="shared" si="10"/>
        <v>0.68637110016420355</v>
      </c>
      <c r="K23" s="31">
        <f t="shared" si="11"/>
        <v>0.13990147783251231</v>
      </c>
      <c r="L23" s="31">
        <f t="shared" si="12"/>
        <v>2.298850574712644E-2</v>
      </c>
      <c r="M23" s="31"/>
      <c r="N23" s="31" t="s">
        <v>275</v>
      </c>
      <c r="O23" s="11" t="s">
        <v>264</v>
      </c>
      <c r="P23" s="66">
        <v>9.9750000000000005E-2</v>
      </c>
      <c r="Q23" s="66">
        <v>7.4499999999999997E-2</v>
      </c>
      <c r="R23" s="31">
        <f t="shared" si="13"/>
        <v>0.5724533715925394</v>
      </c>
      <c r="S23" s="31">
        <f t="shared" si="14"/>
        <v>0.42754662840746049</v>
      </c>
      <c r="T23" s="31"/>
      <c r="U23" s="31">
        <f t="shared" si="15"/>
        <v>0.16402489477281723</v>
      </c>
      <c r="V23" s="31">
        <v>1.5</v>
      </c>
      <c r="W23" s="31"/>
      <c r="X23" s="19">
        <f t="shared" si="16"/>
        <v>677.95131299716672</v>
      </c>
      <c r="Y23" s="31">
        <f t="shared" si="8"/>
        <v>951.1013129971667</v>
      </c>
      <c r="Z23" s="31"/>
    </row>
    <row r="24" spans="1:26" x14ac:dyDescent="0.55000000000000004">
      <c r="A24" s="31"/>
      <c r="B24" s="31"/>
      <c r="C24" s="31" t="s">
        <v>111</v>
      </c>
      <c r="D24" s="11" t="s">
        <v>270</v>
      </c>
      <c r="E24" s="66">
        <v>0.45500000000000002</v>
      </c>
      <c r="F24" s="66">
        <v>6.0999999999999999E-2</v>
      </c>
      <c r="G24" s="66">
        <v>0.42699999999999999</v>
      </c>
      <c r="H24" s="66">
        <v>2.077</v>
      </c>
      <c r="I24" s="31">
        <f t="shared" si="9"/>
        <v>0.15066225165562913</v>
      </c>
      <c r="J24" s="31">
        <f t="shared" si="10"/>
        <v>0.68774834437086096</v>
      </c>
      <c r="K24" s="31">
        <f t="shared" si="11"/>
        <v>0.14139072847682119</v>
      </c>
      <c r="L24" s="31">
        <f t="shared" si="12"/>
        <v>2.0198675496688741E-2</v>
      </c>
      <c r="M24" s="31"/>
      <c r="N24" s="31" t="s">
        <v>275</v>
      </c>
      <c r="O24" s="11" t="s">
        <v>264</v>
      </c>
      <c r="P24" s="66">
        <v>9.9750000000000005E-2</v>
      </c>
      <c r="Q24" s="66">
        <v>7.4499999999999997E-2</v>
      </c>
      <c r="R24" s="31">
        <f t="shared" si="13"/>
        <v>0.5724533715925394</v>
      </c>
      <c r="S24" s="31">
        <f t="shared" si="14"/>
        <v>0.42754662840746049</v>
      </c>
      <c r="T24" s="31"/>
      <c r="U24" s="31">
        <f t="shared" si="15"/>
        <v>0.16361317352118862</v>
      </c>
      <c r="V24" s="31">
        <v>1.5</v>
      </c>
      <c r="W24" s="31"/>
      <c r="X24" s="19">
        <f t="shared" si="16"/>
        <v>677.8911310059525</v>
      </c>
      <c r="Y24" s="31">
        <f t="shared" si="8"/>
        <v>951.04113100595248</v>
      </c>
      <c r="Z24" s="31"/>
    </row>
    <row r="25" spans="1:26" x14ac:dyDescent="0.55000000000000004">
      <c r="A25" s="31"/>
      <c r="B25" s="31"/>
      <c r="C25" s="31" t="s">
        <v>112</v>
      </c>
      <c r="D25" s="11" t="s">
        <v>271</v>
      </c>
      <c r="E25" s="66">
        <v>0.44800000000000001</v>
      </c>
      <c r="F25" s="66">
        <v>6.6000000000000003E-2</v>
      </c>
      <c r="G25" s="66">
        <v>0.433</v>
      </c>
      <c r="H25" s="66">
        <v>2.0819999999999999</v>
      </c>
      <c r="I25" s="31">
        <f t="shared" si="9"/>
        <v>0.14790359854737539</v>
      </c>
      <c r="J25" s="31">
        <f t="shared" si="10"/>
        <v>0.68735556289204358</v>
      </c>
      <c r="K25" s="31">
        <f t="shared" si="11"/>
        <v>0.14295146913172666</v>
      </c>
      <c r="L25" s="31">
        <f t="shared" si="12"/>
        <v>2.178936942885441E-2</v>
      </c>
      <c r="M25" s="31"/>
      <c r="N25" s="31" t="s">
        <v>275</v>
      </c>
      <c r="O25" s="11" t="s">
        <v>264</v>
      </c>
      <c r="P25" s="66">
        <v>9.9750000000000005E-2</v>
      </c>
      <c r="Q25" s="66">
        <v>7.4499999999999997E-2</v>
      </c>
      <c r="R25" s="31">
        <f t="shared" si="13"/>
        <v>0.5724533715925394</v>
      </c>
      <c r="S25" s="31">
        <f t="shared" si="14"/>
        <v>0.42754662840746049</v>
      </c>
      <c r="T25" s="31"/>
      <c r="U25" s="31">
        <f t="shared" si="15"/>
        <v>0.16070916965805485</v>
      </c>
      <c r="V25" s="31">
        <v>1.5</v>
      </c>
      <c r="W25" s="31"/>
      <c r="X25" s="19">
        <f t="shared" si="16"/>
        <v>674.48901176400898</v>
      </c>
      <c r="Y25" s="31">
        <f t="shared" si="8"/>
        <v>947.63901176400896</v>
      </c>
      <c r="Z25" s="31"/>
    </row>
    <row r="26" spans="1:26" x14ac:dyDescent="0.55000000000000004">
      <c r="A26" s="31"/>
      <c r="B26" s="31"/>
      <c r="C26" s="31" t="s">
        <v>113</v>
      </c>
      <c r="D26" s="11" t="s">
        <v>272</v>
      </c>
      <c r="E26" s="66">
        <v>0.48299999999999998</v>
      </c>
      <c r="F26" s="66">
        <v>6.6000000000000003E-2</v>
      </c>
      <c r="G26" s="66">
        <v>0.41199999999999998</v>
      </c>
      <c r="H26" s="66">
        <v>2.1059999999999999</v>
      </c>
      <c r="I26" s="31">
        <f t="shared" si="9"/>
        <v>0.15748288229540269</v>
      </c>
      <c r="J26" s="31">
        <f t="shared" si="10"/>
        <v>0.68666449298989241</v>
      </c>
      <c r="K26" s="31">
        <f t="shared" si="11"/>
        <v>0.13433322464949463</v>
      </c>
      <c r="L26" s="31">
        <f t="shared" si="12"/>
        <v>2.1519400065210307E-2</v>
      </c>
      <c r="M26" s="31"/>
      <c r="N26" s="31" t="s">
        <v>275</v>
      </c>
      <c r="O26" s="11" t="s">
        <v>264</v>
      </c>
      <c r="P26" s="66">
        <v>9.9750000000000005E-2</v>
      </c>
      <c r="Q26" s="66">
        <v>7.4499999999999997E-2</v>
      </c>
      <c r="R26" s="31">
        <f t="shared" si="13"/>
        <v>0.5724533715925394</v>
      </c>
      <c r="S26" s="31">
        <f t="shared" si="14"/>
        <v>0.42754662840746049</v>
      </c>
      <c r="T26" s="31"/>
      <c r="U26" s="31">
        <f t="shared" si="15"/>
        <v>0.17129004848303098</v>
      </c>
      <c r="V26" s="31">
        <v>1.5</v>
      </c>
      <c r="W26" s="31"/>
      <c r="X26" s="19">
        <f t="shared" si="16"/>
        <v>685.59628678087756</v>
      </c>
      <c r="Y26" s="31">
        <f t="shared" si="8"/>
        <v>958.74628678087754</v>
      </c>
      <c r="Z26" s="31"/>
    </row>
    <row r="27" spans="1:26" x14ac:dyDescent="0.55000000000000004">
      <c r="A27" s="31"/>
      <c r="B27" s="31"/>
      <c r="C27" s="31" t="s">
        <v>114</v>
      </c>
      <c r="D27" s="11" t="s">
        <v>273</v>
      </c>
      <c r="E27" s="66">
        <v>0.44700000000000001</v>
      </c>
      <c r="F27" s="66">
        <v>6.0999999999999999E-2</v>
      </c>
      <c r="G27" s="66">
        <v>0.41399999999999998</v>
      </c>
      <c r="H27" s="66">
        <v>2.0960000000000001</v>
      </c>
      <c r="I27" s="31">
        <f t="shared" si="9"/>
        <v>0.14811133200795229</v>
      </c>
      <c r="J27" s="31">
        <f t="shared" si="10"/>
        <v>0.69449966865473833</v>
      </c>
      <c r="K27" s="31">
        <f t="shared" si="11"/>
        <v>0.13717693836978131</v>
      </c>
      <c r="L27" s="31">
        <f t="shared" si="12"/>
        <v>2.0212060967528166E-2</v>
      </c>
      <c r="M27" s="31"/>
      <c r="N27" s="31" t="s">
        <v>275</v>
      </c>
      <c r="O27" s="11" t="s">
        <v>264</v>
      </c>
      <c r="P27" s="66">
        <v>9.9750000000000005E-2</v>
      </c>
      <c r="Q27" s="66">
        <v>7.4499999999999997E-2</v>
      </c>
      <c r="R27" s="31">
        <f t="shared" si="13"/>
        <v>0.5724533715925394</v>
      </c>
      <c r="S27" s="31">
        <f t="shared" si="14"/>
        <v>0.42754662840746049</v>
      </c>
      <c r="T27" s="31"/>
      <c r="U27" s="31">
        <f t="shared" si="15"/>
        <v>0.15927940079205646</v>
      </c>
      <c r="V27" s="31">
        <v>1.5</v>
      </c>
      <c r="W27" s="31"/>
      <c r="X27" s="19">
        <f t="shared" si="16"/>
        <v>670.63857392156865</v>
      </c>
      <c r="Y27" s="31">
        <f t="shared" si="8"/>
        <v>943.78857392156863</v>
      </c>
      <c r="Z27" s="31"/>
    </row>
    <row r="28" spans="1:26" x14ac:dyDescent="0.55000000000000004">
      <c r="A28" s="31"/>
      <c r="B28" s="31"/>
      <c r="C28" s="31" t="s">
        <v>115</v>
      </c>
      <c r="D28" s="11" t="s">
        <v>274</v>
      </c>
      <c r="E28" s="66">
        <v>0.45400000000000001</v>
      </c>
      <c r="F28" s="66">
        <v>6.2E-2</v>
      </c>
      <c r="G28" s="66">
        <v>0.41699999999999998</v>
      </c>
      <c r="H28" s="66">
        <v>2.097</v>
      </c>
      <c r="I28" s="31">
        <f t="shared" si="9"/>
        <v>0.14983498349834984</v>
      </c>
      <c r="J28" s="31">
        <f t="shared" si="10"/>
        <v>0.69207920792079203</v>
      </c>
      <c r="K28" s="31">
        <f t="shared" si="11"/>
        <v>0.13762376237623761</v>
      </c>
      <c r="L28" s="31">
        <f t="shared" si="12"/>
        <v>2.0462046204620461E-2</v>
      </c>
      <c r="M28" s="31"/>
      <c r="N28" s="31" t="s">
        <v>275</v>
      </c>
      <c r="O28" s="11" t="s">
        <v>264</v>
      </c>
      <c r="P28" s="66">
        <v>9.9750000000000005E-2</v>
      </c>
      <c r="Q28" s="66">
        <v>7.4499999999999997E-2</v>
      </c>
      <c r="R28" s="31">
        <f t="shared" si="13"/>
        <v>0.5724533715925394</v>
      </c>
      <c r="S28" s="31">
        <f t="shared" si="14"/>
        <v>0.42754662840746049</v>
      </c>
      <c r="T28" s="31"/>
      <c r="U28" s="31">
        <f t="shared" si="15"/>
        <v>0.16169656377472055</v>
      </c>
      <c r="V28" s="31">
        <v>1.5</v>
      </c>
      <c r="W28" s="31"/>
      <c r="X28" s="19">
        <f t="shared" si="16"/>
        <v>674.07782529523024</v>
      </c>
      <c r="Y28" s="31">
        <f t="shared" si="8"/>
        <v>947.22782529523022</v>
      </c>
      <c r="Z28" s="31"/>
    </row>
    <row r="29" spans="1:26" x14ac:dyDescent="0.55000000000000004">
      <c r="A29" s="31"/>
      <c r="C29" s="31"/>
      <c r="D29" s="31"/>
      <c r="E29" s="66"/>
      <c r="F29" s="66"/>
      <c r="G29" s="66"/>
      <c r="H29" s="66"/>
      <c r="I29" s="31"/>
      <c r="J29" s="31"/>
      <c r="K29" s="31"/>
      <c r="L29" s="31"/>
      <c r="M29" s="31"/>
      <c r="N29" s="31"/>
      <c r="O29" s="31"/>
      <c r="P29" s="66"/>
      <c r="Q29" s="66"/>
      <c r="R29" s="31"/>
      <c r="S29" s="31"/>
      <c r="T29" s="31"/>
      <c r="U29" s="31"/>
      <c r="V29" s="31"/>
      <c r="W29" s="31" t="s">
        <v>59</v>
      </c>
      <c r="X29" s="20">
        <f>AVERAGE(X19:X28)</f>
        <v>675.60130450624183</v>
      </c>
      <c r="Y29" s="31">
        <f t="shared" si="8"/>
        <v>948.75130450624181</v>
      </c>
      <c r="Z29" s="31"/>
    </row>
    <row r="30" spans="1:26" s="85" customFormat="1" x14ac:dyDescent="0.55000000000000004">
      <c r="B30" s="12"/>
      <c r="E30" s="171"/>
      <c r="F30" s="171"/>
      <c r="G30" s="171"/>
      <c r="H30" s="171"/>
      <c r="I30" s="39"/>
      <c r="J30" s="39"/>
      <c r="K30" s="39"/>
      <c r="L30" s="39"/>
      <c r="P30" s="171"/>
      <c r="Q30" s="171"/>
      <c r="R30" s="39"/>
      <c r="S30" s="39"/>
      <c r="T30" s="39"/>
      <c r="U30" s="39"/>
      <c r="V30" s="39"/>
      <c r="W30" s="39"/>
      <c r="X30" s="172"/>
      <c r="Y30" s="39"/>
    </row>
    <row r="31" spans="1:26" x14ac:dyDescent="0.55000000000000004">
      <c r="I31" s="31"/>
      <c r="J31" s="31"/>
      <c r="K31" s="31"/>
      <c r="L31" s="31"/>
      <c r="R31" s="31"/>
      <c r="S31" s="31"/>
      <c r="T31" s="31"/>
      <c r="U31" s="31"/>
      <c r="V31" s="31"/>
      <c r="W31" s="31"/>
      <c r="X31" s="88"/>
      <c r="Y31" s="31"/>
    </row>
    <row r="32" spans="1:26" x14ac:dyDescent="0.55000000000000004">
      <c r="I32" s="31"/>
      <c r="J32" s="31"/>
      <c r="K32" s="31"/>
      <c r="L32" s="31"/>
      <c r="R32" s="31"/>
      <c r="S32" s="31"/>
      <c r="T32" s="31"/>
      <c r="U32" s="31"/>
      <c r="V32" s="31"/>
      <c r="W32" s="31"/>
      <c r="X32" s="88"/>
      <c r="Y32" s="31"/>
    </row>
    <row r="33" spans="9:25" x14ac:dyDescent="0.55000000000000004">
      <c r="I33" s="31"/>
      <c r="J33" s="31"/>
      <c r="K33" s="31"/>
      <c r="L33" s="31"/>
      <c r="R33" s="31"/>
      <c r="S33" s="31"/>
      <c r="T33" s="31"/>
      <c r="U33" s="31"/>
      <c r="V33" s="31"/>
      <c r="W33" s="31"/>
      <c r="X33" s="88"/>
      <c r="Y33" s="31"/>
    </row>
    <row r="34" spans="9:25" x14ac:dyDescent="0.55000000000000004">
      <c r="I34" s="31"/>
      <c r="J34" s="31"/>
      <c r="K34" s="31"/>
      <c r="L34" s="31"/>
      <c r="R34" s="31"/>
      <c r="S34" s="31"/>
      <c r="T34" s="31"/>
      <c r="U34" s="31"/>
      <c r="V34" s="31"/>
      <c r="W34" s="31"/>
      <c r="X34" s="88"/>
      <c r="Y34" s="31"/>
    </row>
    <row r="35" spans="9:25" x14ac:dyDescent="0.55000000000000004">
      <c r="I35" s="31"/>
      <c r="J35" s="31"/>
      <c r="K35" s="31"/>
      <c r="L35" s="31"/>
      <c r="R35" s="31"/>
      <c r="S35" s="31"/>
      <c r="T35" s="31"/>
      <c r="U35" s="31"/>
      <c r="V35" s="31"/>
      <c r="W35" s="31"/>
      <c r="X35" s="88"/>
      <c r="Y35" s="31"/>
    </row>
    <row r="36" spans="9:25" x14ac:dyDescent="0.55000000000000004">
      <c r="I36" s="31"/>
      <c r="J36" s="31"/>
      <c r="K36" s="31"/>
      <c r="L36" s="31"/>
      <c r="R36" s="31"/>
      <c r="S36" s="31"/>
      <c r="T36" s="31"/>
      <c r="U36" s="31"/>
      <c r="V36" s="31"/>
      <c r="W36" s="31"/>
      <c r="X36" s="88"/>
      <c r="Y36" s="31"/>
    </row>
    <row r="37" spans="9:25" x14ac:dyDescent="0.55000000000000004">
      <c r="I37" s="31"/>
      <c r="J37" s="31"/>
      <c r="K37" s="31"/>
      <c r="L37" s="31"/>
      <c r="R37" s="31"/>
      <c r="S37" s="31"/>
      <c r="T37" s="31"/>
      <c r="U37" s="31"/>
      <c r="V37" s="31"/>
      <c r="W37" s="31"/>
      <c r="X37" s="88"/>
      <c r="Y37" s="31"/>
    </row>
    <row r="38" spans="9:25" x14ac:dyDescent="0.55000000000000004">
      <c r="I38" s="31"/>
      <c r="J38" s="31"/>
      <c r="K38" s="31"/>
      <c r="L38" s="31"/>
      <c r="R38" s="31"/>
      <c r="S38" s="31"/>
      <c r="T38" s="31"/>
      <c r="U38" s="31"/>
      <c r="V38" s="31"/>
      <c r="W38" s="31"/>
      <c r="X38" s="88"/>
      <c r="Y38" s="31"/>
    </row>
    <row r="39" spans="9:25" x14ac:dyDescent="0.55000000000000004">
      <c r="I39" s="31"/>
      <c r="J39" s="31"/>
      <c r="K39" s="31"/>
      <c r="L39" s="31"/>
      <c r="R39" s="31"/>
      <c r="S39" s="31"/>
      <c r="T39" s="31"/>
      <c r="U39" s="31"/>
      <c r="V39" s="31"/>
      <c r="W39" s="31"/>
      <c r="X39" s="88"/>
      <c r="Y39" s="31"/>
    </row>
    <row r="40" spans="9:25" x14ac:dyDescent="0.55000000000000004">
      <c r="R40" s="31"/>
      <c r="S40" s="31"/>
      <c r="T40" s="31"/>
      <c r="U40" s="31"/>
      <c r="V40" s="31"/>
      <c r="W40" s="31"/>
      <c r="X40" s="88"/>
      <c r="Y40" s="31"/>
    </row>
  </sheetData>
  <mergeCells count="1">
    <mergeCell ref="C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1A3E7-30C4-46FB-994F-E8D2C625150B}">
  <dimension ref="A1:N18"/>
  <sheetViews>
    <sheetView workbookViewId="0">
      <selection activeCell="F4" sqref="F4"/>
    </sheetView>
  </sheetViews>
  <sheetFormatPr defaultRowHeight="14.4" x14ac:dyDescent="0.55000000000000004"/>
  <cols>
    <col min="1" max="1" width="13" bestFit="1" customWidth="1"/>
    <col min="2" max="2" width="10.3125" bestFit="1" customWidth="1"/>
    <col min="3" max="3" width="11.05078125" bestFit="1" customWidth="1"/>
    <col min="4" max="4" width="22.734375" bestFit="1" customWidth="1"/>
  </cols>
  <sheetData>
    <row r="1" spans="1:14" s="22" customFormat="1" x14ac:dyDescent="0.55000000000000004">
      <c r="A1" s="74" t="s">
        <v>116</v>
      </c>
    </row>
    <row r="2" spans="1:14" s="31" customFormat="1" x14ac:dyDescent="0.55000000000000004"/>
    <row r="3" spans="1:14" s="68" customFormat="1" x14ac:dyDescent="0.55000000000000004">
      <c r="A3" s="17"/>
      <c r="B3" s="17"/>
      <c r="C3" s="195" t="s">
        <v>86</v>
      </c>
      <c r="D3" s="195"/>
      <c r="E3" s="70"/>
      <c r="F3" s="70"/>
      <c r="G3" s="17"/>
      <c r="H3" s="17"/>
      <c r="I3" s="17"/>
      <c r="J3" s="17"/>
      <c r="K3" s="69"/>
      <c r="L3" s="17"/>
      <c r="M3" s="17"/>
      <c r="N3" s="17"/>
    </row>
    <row r="4" spans="1:14" s="39" customFormat="1" x14ac:dyDescent="0.55000000000000004">
      <c r="A4" s="2" t="s">
        <v>69</v>
      </c>
      <c r="B4" s="14" t="s">
        <v>19</v>
      </c>
      <c r="C4" s="4" t="s">
        <v>229</v>
      </c>
      <c r="D4" s="4" t="s">
        <v>18</v>
      </c>
      <c r="E4" s="71" t="s">
        <v>390</v>
      </c>
      <c r="F4" s="71" t="s">
        <v>391</v>
      </c>
      <c r="G4" s="2"/>
      <c r="H4" s="2" t="s">
        <v>16</v>
      </c>
      <c r="I4" s="2" t="s">
        <v>83</v>
      </c>
      <c r="J4" s="2"/>
      <c r="K4" s="3" t="s">
        <v>17</v>
      </c>
      <c r="L4" s="2"/>
      <c r="M4" s="2"/>
      <c r="N4" s="2"/>
    </row>
    <row r="5" spans="1:14" s="31" customFormat="1" x14ac:dyDescent="0.55000000000000004">
      <c r="A5" s="58"/>
      <c r="C5" s="54"/>
      <c r="D5" s="54"/>
      <c r="E5" s="72"/>
      <c r="F5" s="72"/>
      <c r="K5" s="56"/>
    </row>
    <row r="6" spans="1:14" s="31" customFormat="1" x14ac:dyDescent="0.55000000000000004">
      <c r="A6" s="58" t="s">
        <v>125</v>
      </c>
      <c r="B6" s="11" t="s">
        <v>204</v>
      </c>
      <c r="C6" s="54" t="s">
        <v>117</v>
      </c>
      <c r="D6" s="156" t="s">
        <v>257</v>
      </c>
      <c r="E6" s="72">
        <v>3.0960000000000001</v>
      </c>
      <c r="F6" s="72">
        <v>5.6000000000000001E-2</v>
      </c>
      <c r="H6" s="31">
        <v>914</v>
      </c>
      <c r="I6" s="31">
        <f t="shared" ref="I6:I9" si="0">H6-273</f>
        <v>641</v>
      </c>
      <c r="K6" s="59">
        <f t="shared" ref="K6:K9" si="1">8.35*F6-1.72*E6+0.0015*H6+4.59</f>
        <v>1.1034799999999998</v>
      </c>
    </row>
    <row r="7" spans="1:14" s="31" customFormat="1" x14ac:dyDescent="0.55000000000000004">
      <c r="A7" s="58"/>
      <c r="C7" s="54" t="s">
        <v>118</v>
      </c>
      <c r="D7" s="156" t="s">
        <v>258</v>
      </c>
      <c r="E7" s="72">
        <v>3.0990000000000002</v>
      </c>
      <c r="F7" s="72">
        <v>7.5999999999999998E-2</v>
      </c>
      <c r="H7" s="31">
        <v>914</v>
      </c>
      <c r="I7" s="31">
        <f t="shared" si="0"/>
        <v>641</v>
      </c>
      <c r="K7" s="59">
        <f t="shared" si="1"/>
        <v>1.2653199999999996</v>
      </c>
    </row>
    <row r="8" spans="1:14" s="31" customFormat="1" x14ac:dyDescent="0.55000000000000004">
      <c r="A8" s="58"/>
      <c r="C8" s="54" t="s">
        <v>119</v>
      </c>
      <c r="D8" s="156" t="s">
        <v>259</v>
      </c>
      <c r="E8" s="72">
        <v>3.1110000000000002</v>
      </c>
      <c r="F8" s="72">
        <v>9.1999999999999998E-2</v>
      </c>
      <c r="H8" s="31">
        <v>914</v>
      </c>
      <c r="I8" s="31">
        <f t="shared" si="0"/>
        <v>641</v>
      </c>
      <c r="K8" s="59">
        <f t="shared" si="1"/>
        <v>1.3782799999999997</v>
      </c>
    </row>
    <row r="9" spans="1:14" s="31" customFormat="1" x14ac:dyDescent="0.55000000000000004">
      <c r="A9" s="58"/>
      <c r="C9" s="54" t="s">
        <v>120</v>
      </c>
      <c r="D9" s="156" t="s">
        <v>260</v>
      </c>
      <c r="E9" s="72">
        <v>3.1509999999999998</v>
      </c>
      <c r="F9" s="72">
        <v>0.108</v>
      </c>
      <c r="H9" s="31">
        <v>914</v>
      </c>
      <c r="I9" s="31">
        <f t="shared" si="0"/>
        <v>641</v>
      </c>
      <c r="K9" s="59">
        <f t="shared" si="1"/>
        <v>1.4430799999999997</v>
      </c>
    </row>
    <row r="10" spans="1:14" s="31" customFormat="1" x14ac:dyDescent="0.55000000000000004">
      <c r="A10" s="58"/>
      <c r="C10" s="54"/>
      <c r="D10" s="54"/>
      <c r="E10" s="72"/>
      <c r="F10" s="72"/>
      <c r="J10" s="31" t="s">
        <v>59</v>
      </c>
      <c r="K10" s="57">
        <f>AVERAGE(K6:K9)</f>
        <v>1.2975399999999997</v>
      </c>
    </row>
    <row r="11" spans="1:14" s="31" customFormat="1" x14ac:dyDescent="0.55000000000000004">
      <c r="A11" s="58"/>
      <c r="C11" s="63"/>
      <c r="D11" s="63"/>
      <c r="E11" s="73"/>
      <c r="F11" s="73"/>
      <c r="G11" s="58"/>
      <c r="H11" s="58"/>
      <c r="I11" s="58"/>
      <c r="J11" s="58"/>
      <c r="K11" s="59"/>
    </row>
    <row r="12" spans="1:14" s="58" customFormat="1" x14ac:dyDescent="0.55000000000000004">
      <c r="B12" s="84" t="s">
        <v>84</v>
      </c>
      <c r="C12" s="63" t="s">
        <v>121</v>
      </c>
      <c r="D12" s="157" t="s">
        <v>264</v>
      </c>
      <c r="E12" s="73">
        <v>3.0939999999999999</v>
      </c>
      <c r="F12" s="73">
        <v>8.8999999999999996E-2</v>
      </c>
      <c r="H12" s="58">
        <v>949</v>
      </c>
      <c r="I12" s="58">
        <f>H12-273</f>
        <v>676</v>
      </c>
      <c r="K12" s="59">
        <f t="shared" ref="K12:K15" si="2">8.35*F12-1.72*E12+0.0015*H12+4.59</f>
        <v>1.4349699999999999</v>
      </c>
    </row>
    <row r="13" spans="1:14" s="58" customFormat="1" x14ac:dyDescent="0.55000000000000004">
      <c r="C13" s="54" t="s">
        <v>122</v>
      </c>
      <c r="D13" s="157" t="s">
        <v>264</v>
      </c>
      <c r="E13" s="72">
        <v>3.11</v>
      </c>
      <c r="F13" s="72">
        <v>0.105</v>
      </c>
      <c r="G13" s="31"/>
      <c r="H13" s="58">
        <v>949</v>
      </c>
      <c r="I13" s="58">
        <f t="shared" ref="I13:I15" si="3">H13-273</f>
        <v>676</v>
      </c>
      <c r="J13" s="67"/>
      <c r="K13" s="67">
        <f t="shared" si="2"/>
        <v>1.5410499999999994</v>
      </c>
    </row>
    <row r="14" spans="1:14" s="31" customFormat="1" x14ac:dyDescent="0.55000000000000004">
      <c r="A14" s="58"/>
      <c r="C14" s="54" t="s">
        <v>123</v>
      </c>
      <c r="D14" s="157" t="s">
        <v>264</v>
      </c>
      <c r="E14" s="72">
        <v>3.1</v>
      </c>
      <c r="F14" s="72">
        <v>0.1</v>
      </c>
      <c r="H14" s="58">
        <v>949</v>
      </c>
      <c r="I14" s="58">
        <f t="shared" si="3"/>
        <v>676</v>
      </c>
      <c r="J14" s="67"/>
      <c r="K14" s="67">
        <f t="shared" si="2"/>
        <v>1.5164999999999997</v>
      </c>
      <c r="M14" s="54"/>
    </row>
    <row r="15" spans="1:14" s="31" customFormat="1" x14ac:dyDescent="0.55000000000000004">
      <c r="A15" s="58"/>
      <c r="C15" s="54" t="s">
        <v>124</v>
      </c>
      <c r="D15" s="157" t="s">
        <v>264</v>
      </c>
      <c r="E15" s="72">
        <v>3.12</v>
      </c>
      <c r="F15" s="72">
        <v>0.105</v>
      </c>
      <c r="H15" s="58">
        <v>949</v>
      </c>
      <c r="I15" s="58">
        <f t="shared" si="3"/>
        <v>676</v>
      </c>
      <c r="J15" s="67"/>
      <c r="K15" s="67">
        <f t="shared" si="2"/>
        <v>1.5238499999999986</v>
      </c>
    </row>
    <row r="16" spans="1:14" s="31" customFormat="1" x14ac:dyDescent="0.55000000000000004">
      <c r="A16" s="58"/>
      <c r="C16" s="63"/>
      <c r="D16" s="63"/>
      <c r="E16" s="73"/>
      <c r="F16" s="73"/>
      <c r="G16" s="58"/>
      <c r="H16" s="58"/>
      <c r="I16" s="58"/>
      <c r="J16" s="58" t="s">
        <v>59</v>
      </c>
      <c r="K16" s="57">
        <f>AVERAGE(K12:K15)</f>
        <v>1.5040924999999994</v>
      </c>
    </row>
    <row r="17" spans="3:11" s="58" customFormat="1" x14ac:dyDescent="0.55000000000000004">
      <c r="C17" s="63"/>
      <c r="D17" s="63"/>
      <c r="E17" s="73"/>
      <c r="F17" s="73"/>
      <c r="K17" s="59"/>
    </row>
    <row r="18" spans="3:11" s="90" customFormat="1" x14ac:dyDescent="0.55000000000000004"/>
  </sheetData>
  <mergeCells count="1">
    <mergeCell ref="C3:D3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Intro</vt:lpstr>
      <vt:lpstr>GRT-BT</vt:lpstr>
      <vt:lpstr>GRT-PL</vt:lpstr>
      <vt:lpstr>GRT-PHEN</vt:lpstr>
      <vt:lpstr>PHEN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2023-06-12T08:48:45Z</dcterms:created>
  <dcterms:modified xsi:type="dcterms:W3CDTF">2023-06-23T11:51:05Z</dcterms:modified>
</cp:coreProperties>
</file>